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WebReports\Markov\"/>
    </mc:Choice>
  </mc:AlternateContent>
  <xr:revisionPtr revIDLastSave="0" documentId="8_{A2A39ED7-6361-48EB-B95F-03C300E1DBE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3" sheetId="3" r:id="rId1"/>
    <sheet name="Sheet2" sheetId="4" r:id="rId2"/>
    <sheet name="Sheet1" sheetId="1" r:id="rId3"/>
    <sheet name="Sheet4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36" i="1" l="1"/>
  <c r="AE37" i="1"/>
  <c r="AE35" i="1"/>
  <c r="AD38" i="1"/>
  <c r="AE38" i="1" s="1"/>
  <c r="AC38" i="1"/>
  <c r="E6" i="1"/>
  <c r="C6" i="4" s="1"/>
  <c r="F6" i="1"/>
  <c r="G6" i="1"/>
  <c r="H6" i="1"/>
  <c r="I6" i="1"/>
  <c r="J6" i="1"/>
  <c r="K6" i="1"/>
  <c r="I6" i="4" s="1"/>
  <c r="L6" i="1"/>
  <c r="J6" i="4" s="1"/>
  <c r="M6" i="1"/>
  <c r="K6" i="4" s="1"/>
  <c r="N6" i="1"/>
  <c r="O6" i="1"/>
  <c r="P6" i="1"/>
  <c r="E7" i="1"/>
  <c r="C7" i="4" s="1"/>
  <c r="F7" i="1"/>
  <c r="D7" i="4" s="1"/>
  <c r="G7" i="1"/>
  <c r="E7" i="4" s="1"/>
  <c r="H7" i="1"/>
  <c r="F7" i="4" s="1"/>
  <c r="I7" i="1"/>
  <c r="J7" i="1"/>
  <c r="H7" i="4" s="1"/>
  <c r="K7" i="1"/>
  <c r="L7" i="1"/>
  <c r="M7" i="1"/>
  <c r="N7" i="1"/>
  <c r="L7" i="4" s="1"/>
  <c r="O7" i="1"/>
  <c r="M7" i="4" s="1"/>
  <c r="P7" i="1"/>
  <c r="N7" i="4" s="1"/>
  <c r="E8" i="1"/>
  <c r="F8" i="1"/>
  <c r="G8" i="1"/>
  <c r="H8" i="1"/>
  <c r="F8" i="4" s="1"/>
  <c r="I8" i="1"/>
  <c r="G8" i="4" s="1"/>
  <c r="J8" i="1"/>
  <c r="H8" i="4" s="1"/>
  <c r="K8" i="1"/>
  <c r="I8" i="4" s="1"/>
  <c r="L8" i="1"/>
  <c r="J8" i="4" s="1"/>
  <c r="M8" i="1"/>
  <c r="K8" i="4" s="1"/>
  <c r="N8" i="1"/>
  <c r="L8" i="4" s="1"/>
  <c r="O8" i="1"/>
  <c r="P8" i="1"/>
  <c r="N8" i="4" s="1"/>
  <c r="E9" i="1"/>
  <c r="F9" i="1"/>
  <c r="D9" i="4" s="1"/>
  <c r="G9" i="1"/>
  <c r="E9" i="4" s="1"/>
  <c r="H9" i="1"/>
  <c r="F9" i="4" s="1"/>
  <c r="I9" i="1"/>
  <c r="J9" i="1"/>
  <c r="H9" i="4" s="1"/>
  <c r="K9" i="1"/>
  <c r="L9" i="1"/>
  <c r="J9" i="4" s="1"/>
  <c r="M9" i="1"/>
  <c r="N9" i="1"/>
  <c r="L9" i="4" s="1"/>
  <c r="O9" i="1"/>
  <c r="M9" i="4" s="1"/>
  <c r="P9" i="1"/>
  <c r="N9" i="4" s="1"/>
  <c r="E10" i="1"/>
  <c r="C10" i="4" s="1"/>
  <c r="F10" i="1"/>
  <c r="D10" i="4" s="1"/>
  <c r="G10" i="1"/>
  <c r="H10" i="1"/>
  <c r="F10" i="4" s="1"/>
  <c r="I10" i="1"/>
  <c r="G10" i="4" s="1"/>
  <c r="J10" i="1"/>
  <c r="H10" i="4" s="1"/>
  <c r="K10" i="1"/>
  <c r="I10" i="4" s="1"/>
  <c r="L10" i="1"/>
  <c r="J10" i="4" s="1"/>
  <c r="M10" i="1"/>
  <c r="K10" i="4" s="1"/>
  <c r="N10" i="1"/>
  <c r="L10" i="4" s="1"/>
  <c r="O10" i="1"/>
  <c r="P10" i="1"/>
  <c r="N10" i="4" s="1"/>
  <c r="E11" i="1"/>
  <c r="C11" i="4" s="1"/>
  <c r="F11" i="1"/>
  <c r="D11" i="4" s="1"/>
  <c r="G11" i="1"/>
  <c r="E11" i="4" s="1"/>
  <c r="H11" i="1"/>
  <c r="F11" i="4" s="1"/>
  <c r="I11" i="1"/>
  <c r="G11" i="4" s="1"/>
  <c r="J11" i="1"/>
  <c r="K11" i="1"/>
  <c r="L11" i="1"/>
  <c r="J11" i="4" s="1"/>
  <c r="M11" i="1"/>
  <c r="K11" i="4" s="1"/>
  <c r="N11" i="1"/>
  <c r="L11" i="4" s="1"/>
  <c r="O11" i="1"/>
  <c r="M11" i="4" s="1"/>
  <c r="P11" i="1"/>
  <c r="N11" i="4" s="1"/>
  <c r="E12" i="1"/>
  <c r="F12" i="1"/>
  <c r="D12" i="4" s="1"/>
  <c r="G12" i="1"/>
  <c r="H12" i="1"/>
  <c r="F12" i="4" s="1"/>
  <c r="I12" i="1"/>
  <c r="G12" i="4" s="1"/>
  <c r="J12" i="1"/>
  <c r="H12" i="4" s="1"/>
  <c r="K12" i="1"/>
  <c r="I12" i="4" s="1"/>
  <c r="L12" i="1"/>
  <c r="J12" i="4" s="1"/>
  <c r="M12" i="1"/>
  <c r="K12" i="4" s="1"/>
  <c r="N12" i="1"/>
  <c r="O12" i="1"/>
  <c r="P12" i="1"/>
  <c r="E13" i="1"/>
  <c r="F13" i="1"/>
  <c r="G13" i="1"/>
  <c r="H13" i="1"/>
  <c r="I13" i="1"/>
  <c r="J13" i="1"/>
  <c r="K13" i="1"/>
  <c r="L13" i="1"/>
  <c r="M13" i="1"/>
  <c r="N13" i="1"/>
  <c r="O13" i="1"/>
  <c r="P13" i="1"/>
  <c r="E14" i="1"/>
  <c r="F14" i="1"/>
  <c r="G14" i="1"/>
  <c r="H14" i="1"/>
  <c r="I14" i="1"/>
  <c r="J14" i="1"/>
  <c r="K14" i="1"/>
  <c r="L14" i="1"/>
  <c r="M14" i="1"/>
  <c r="N14" i="1"/>
  <c r="O14" i="1"/>
  <c r="P14" i="1"/>
  <c r="E15" i="1"/>
  <c r="F15" i="1"/>
  <c r="G15" i="1"/>
  <c r="H15" i="1"/>
  <c r="I15" i="1"/>
  <c r="J15" i="1"/>
  <c r="K15" i="1"/>
  <c r="L15" i="1"/>
  <c r="M15" i="1"/>
  <c r="N15" i="1"/>
  <c r="O15" i="1"/>
  <c r="P15" i="1"/>
  <c r="E16" i="1"/>
  <c r="F16" i="1"/>
  <c r="G16" i="1"/>
  <c r="H16" i="1"/>
  <c r="I16" i="1"/>
  <c r="J16" i="1"/>
  <c r="K16" i="1"/>
  <c r="L16" i="1"/>
  <c r="M16" i="1"/>
  <c r="N16" i="1"/>
  <c r="O16" i="1"/>
  <c r="P16" i="1"/>
  <c r="E17" i="1"/>
  <c r="F17" i="1"/>
  <c r="G17" i="1"/>
  <c r="H17" i="1"/>
  <c r="I17" i="1"/>
  <c r="J17" i="1"/>
  <c r="K17" i="1"/>
  <c r="L17" i="1"/>
  <c r="M17" i="1"/>
  <c r="N17" i="1"/>
  <c r="O17" i="1"/>
  <c r="P17" i="1"/>
  <c r="E18" i="1"/>
  <c r="C15" i="4" s="1"/>
  <c r="F18" i="1"/>
  <c r="D15" i="4" s="1"/>
  <c r="G18" i="1"/>
  <c r="H18" i="1"/>
  <c r="F15" i="4" s="1"/>
  <c r="I18" i="1"/>
  <c r="J18" i="1"/>
  <c r="H15" i="4" s="1"/>
  <c r="K18" i="1"/>
  <c r="I15" i="4" s="1"/>
  <c r="L18" i="1"/>
  <c r="J15" i="4" s="1"/>
  <c r="M18" i="1"/>
  <c r="N18" i="1"/>
  <c r="L15" i="4" s="1"/>
  <c r="O18" i="1"/>
  <c r="P18" i="1"/>
  <c r="E19" i="1"/>
  <c r="C16" i="4" s="1"/>
  <c r="F19" i="1"/>
  <c r="D16" i="4" s="1"/>
  <c r="G19" i="1"/>
  <c r="E16" i="4" s="1"/>
  <c r="H19" i="1"/>
  <c r="F16" i="4" s="1"/>
  <c r="I19" i="1"/>
  <c r="G16" i="4" s="1"/>
  <c r="J19" i="1"/>
  <c r="H16" i="4" s="1"/>
  <c r="K19" i="1"/>
  <c r="L19" i="1"/>
  <c r="J16" i="4" s="1"/>
  <c r="M19" i="1"/>
  <c r="K16" i="4" s="1"/>
  <c r="N19" i="1"/>
  <c r="L16" i="4" s="1"/>
  <c r="O19" i="1"/>
  <c r="M16" i="4" s="1"/>
  <c r="P19" i="1"/>
  <c r="N16" i="4" s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6" i="1"/>
  <c r="G42" i="1"/>
  <c r="G24" i="1"/>
  <c r="A7" i="4"/>
  <c r="I3" i="4"/>
  <c r="G15" i="4"/>
  <c r="L12" i="4"/>
  <c r="C12" i="4"/>
  <c r="H11" i="4"/>
  <c r="K9" i="4"/>
  <c r="G9" i="4"/>
  <c r="C9" i="4"/>
  <c r="D8" i="4"/>
  <c r="C8" i="4"/>
  <c r="K7" i="4"/>
  <c r="L6" i="4"/>
  <c r="G6" i="4"/>
  <c r="D6" i="4"/>
  <c r="C173" i="1"/>
  <c r="C174" i="1" s="1"/>
  <c r="C175" i="1" s="1"/>
  <c r="C176" i="1" s="1"/>
  <c r="C177" i="1" s="1"/>
  <c r="C178" i="1" s="1"/>
  <c r="W5" i="1"/>
  <c r="AB5" i="1" s="1"/>
  <c r="V5" i="1"/>
  <c r="AA5" i="1" s="1"/>
  <c r="C155" i="1"/>
  <c r="C156" i="1" s="1"/>
  <c r="C157" i="1" s="1"/>
  <c r="K42" i="1"/>
  <c r="B46" i="1" s="1"/>
  <c r="G28" i="3"/>
  <c r="G27" i="3"/>
  <c r="G26" i="3"/>
  <c r="G25" i="3"/>
  <c r="F25" i="3"/>
  <c r="F26" i="3"/>
  <c r="F27" i="3"/>
  <c r="F28" i="3"/>
  <c r="E5" i="1" l="1"/>
  <c r="C5" i="4" s="1"/>
  <c r="J5" i="1"/>
  <c r="H5" i="4" s="1"/>
  <c r="L13" i="4"/>
  <c r="H13" i="4"/>
  <c r="H14" i="4"/>
  <c r="G13" i="4"/>
  <c r="K13" i="4"/>
  <c r="C13" i="4"/>
  <c r="K14" i="4"/>
  <c r="C14" i="4"/>
  <c r="L14" i="4"/>
  <c r="F5" i="1"/>
  <c r="F22" i="1" s="1"/>
  <c r="J22" i="1"/>
  <c r="D14" i="4"/>
  <c r="N13" i="4"/>
  <c r="N14" i="4"/>
  <c r="H5" i="1"/>
  <c r="F5" i="4" s="1"/>
  <c r="D13" i="4"/>
  <c r="G14" i="4"/>
  <c r="I5" i="1"/>
  <c r="I22" i="1" s="1"/>
  <c r="G5" i="4"/>
  <c r="V10" i="1"/>
  <c r="V49" i="1" s="1"/>
  <c r="V71" i="1" s="1"/>
  <c r="I38" i="1"/>
  <c r="M5" i="1"/>
  <c r="M22" i="1" s="1"/>
  <c r="H6" i="4"/>
  <c r="N5" i="1"/>
  <c r="L5" i="4" s="1"/>
  <c r="G7" i="4"/>
  <c r="Q16" i="1"/>
  <c r="O44" i="1" s="1"/>
  <c r="L5" i="1"/>
  <c r="L27" i="1" s="1"/>
  <c r="V11" i="1"/>
  <c r="V50" i="1" s="1"/>
  <c r="V72" i="1" s="1"/>
  <c r="K15" i="4"/>
  <c r="D51" i="1"/>
  <c r="N37" i="1"/>
  <c r="F37" i="1"/>
  <c r="I36" i="1"/>
  <c r="L37" i="1"/>
  <c r="J27" i="1"/>
  <c r="I35" i="1"/>
  <c r="I34" i="1"/>
  <c r="I26" i="1"/>
  <c r="J36" i="1"/>
  <c r="N32" i="1"/>
  <c r="I31" i="1"/>
  <c r="L30" i="1"/>
  <c r="N34" i="1"/>
  <c r="I33" i="1"/>
  <c r="N26" i="1"/>
  <c r="F26" i="1"/>
  <c r="I28" i="1"/>
  <c r="J35" i="1"/>
  <c r="N31" i="1"/>
  <c r="I30" i="1"/>
  <c r="L26" i="1"/>
  <c r="N33" i="1"/>
  <c r="J29" i="1"/>
  <c r="F31" i="1"/>
  <c r="J32" i="1"/>
  <c r="N28" i="1"/>
  <c r="I27" i="1"/>
  <c r="I32" i="1"/>
  <c r="I37" i="1"/>
  <c r="L36" i="1"/>
  <c r="N30" i="1"/>
  <c r="I29" i="1"/>
  <c r="L28" i="1"/>
  <c r="D54" i="1"/>
  <c r="G64" i="1"/>
  <c r="D68" i="1" s="1"/>
  <c r="D47" i="1"/>
  <c r="D46" i="1"/>
  <c r="D50" i="1"/>
  <c r="D45" i="1"/>
  <c r="D55" i="1"/>
  <c r="D53" i="1"/>
  <c r="D52" i="1"/>
  <c r="V13" i="1"/>
  <c r="J7" i="4"/>
  <c r="N12" i="4"/>
  <c r="F14" i="4"/>
  <c r="D49" i="1"/>
  <c r="V15" i="1"/>
  <c r="P5" i="1"/>
  <c r="P36" i="1" s="1"/>
  <c r="N6" i="4"/>
  <c r="F13" i="4"/>
  <c r="F6" i="4"/>
  <c r="N15" i="4"/>
  <c r="J14" i="4"/>
  <c r="J13" i="4"/>
  <c r="Q17" i="1"/>
  <c r="D56" i="1"/>
  <c r="X22" i="1"/>
  <c r="Q9" i="1"/>
  <c r="D20" i="1"/>
  <c r="D48" i="1"/>
  <c r="I16" i="4"/>
  <c r="O16" i="4" s="1"/>
  <c r="R19" i="1"/>
  <c r="V23" i="1"/>
  <c r="M15" i="4"/>
  <c r="V22" i="1"/>
  <c r="E15" i="4"/>
  <c r="R18" i="1"/>
  <c r="I13" i="4"/>
  <c r="M13" i="4"/>
  <c r="E13" i="4"/>
  <c r="Q15" i="1"/>
  <c r="M14" i="4"/>
  <c r="E14" i="4"/>
  <c r="Q14" i="1"/>
  <c r="I14" i="4"/>
  <c r="M12" i="4"/>
  <c r="X23" i="1"/>
  <c r="Q12" i="1"/>
  <c r="E12" i="4"/>
  <c r="I11" i="4"/>
  <c r="O11" i="4" s="1"/>
  <c r="M10" i="4"/>
  <c r="Q10" i="1"/>
  <c r="E10" i="4"/>
  <c r="I9" i="4"/>
  <c r="O9" i="4" s="1"/>
  <c r="M8" i="4"/>
  <c r="O8" i="4" s="1"/>
  <c r="E8" i="4"/>
  <c r="Q8" i="1"/>
  <c r="I7" i="4"/>
  <c r="K5" i="1"/>
  <c r="K32" i="1" s="1"/>
  <c r="X24" i="1"/>
  <c r="M6" i="4"/>
  <c r="O5" i="1"/>
  <c r="O29" i="1" s="1"/>
  <c r="E6" i="4"/>
  <c r="Q6" i="1"/>
  <c r="G5" i="1"/>
  <c r="G37" i="1" s="1"/>
  <c r="C158" i="1"/>
  <c r="D25" i="3"/>
  <c r="C165" i="1"/>
  <c r="C166" i="1" s="1"/>
  <c r="C167" i="1" s="1"/>
  <c r="C168" i="1" s="1"/>
  <c r="K64" i="1"/>
  <c r="B68" i="1" s="1"/>
  <c r="W44" i="1"/>
  <c r="Q13" i="1"/>
  <c r="Q11" i="1"/>
  <c r="Q7" i="1"/>
  <c r="V44" i="1"/>
  <c r="V66" i="1" s="1"/>
  <c r="W16" i="1" l="1"/>
  <c r="P29" i="1"/>
  <c r="L35" i="1"/>
  <c r="L33" i="1"/>
  <c r="P32" i="1"/>
  <c r="M31" i="1"/>
  <c r="H26" i="1"/>
  <c r="P22" i="1"/>
  <c r="H37" i="1"/>
  <c r="H31" i="1"/>
  <c r="O30" i="1"/>
  <c r="P37" i="1"/>
  <c r="H27" i="1"/>
  <c r="M32" i="1"/>
  <c r="E31" i="1"/>
  <c r="H38" i="1"/>
  <c r="E36" i="1"/>
  <c r="E37" i="1"/>
  <c r="E33" i="1"/>
  <c r="E28" i="1"/>
  <c r="L22" i="1"/>
  <c r="L31" i="1"/>
  <c r="L34" i="1"/>
  <c r="P33" i="1"/>
  <c r="J28" i="1"/>
  <c r="H29" i="1"/>
  <c r="H35" i="1"/>
  <c r="H22" i="1"/>
  <c r="H28" i="1"/>
  <c r="H36" i="1"/>
  <c r="V9" i="1"/>
  <c r="V48" i="1" s="1"/>
  <c r="V70" i="1" s="1"/>
  <c r="J5" i="4"/>
  <c r="H32" i="1"/>
  <c r="J37" i="1"/>
  <c r="H33" i="1"/>
  <c r="J30" i="1"/>
  <c r="J31" i="1"/>
  <c r="J33" i="1"/>
  <c r="G31" i="1"/>
  <c r="O7" i="4"/>
  <c r="L38" i="1"/>
  <c r="J34" i="1"/>
  <c r="L32" i="1"/>
  <c r="H34" i="1"/>
  <c r="L29" i="1"/>
  <c r="J38" i="1"/>
  <c r="J26" i="1"/>
  <c r="H30" i="1"/>
  <c r="E32" i="1"/>
  <c r="O10" i="4"/>
  <c r="F36" i="1"/>
  <c r="M37" i="1"/>
  <c r="M35" i="1"/>
  <c r="M30" i="1"/>
  <c r="F33" i="1"/>
  <c r="E34" i="1"/>
  <c r="M33" i="1"/>
  <c r="M26" i="1"/>
  <c r="N36" i="1"/>
  <c r="E29" i="1"/>
  <c r="M27" i="1"/>
  <c r="E26" i="1"/>
  <c r="V6" i="1"/>
  <c r="V45" i="1" s="1"/>
  <c r="V67" i="1" s="1"/>
  <c r="F28" i="1"/>
  <c r="E38" i="1"/>
  <c r="K35" i="1"/>
  <c r="F27" i="1"/>
  <c r="F35" i="1"/>
  <c r="F29" i="1"/>
  <c r="E22" i="1"/>
  <c r="F30" i="1"/>
  <c r="E35" i="1"/>
  <c r="E27" i="1"/>
  <c r="E30" i="1"/>
  <c r="F34" i="1"/>
  <c r="F32" i="1"/>
  <c r="N27" i="1"/>
  <c r="V7" i="1"/>
  <c r="V46" i="1" s="1"/>
  <c r="V68" i="1" s="1"/>
  <c r="O37" i="1"/>
  <c r="O35" i="1"/>
  <c r="P35" i="1"/>
  <c r="M34" i="1"/>
  <c r="O33" i="1"/>
  <c r="P31" i="1"/>
  <c r="F38" i="1"/>
  <c r="P28" i="1"/>
  <c r="K36" i="1"/>
  <c r="K29" i="1"/>
  <c r="D5" i="4"/>
  <c r="P27" i="1"/>
  <c r="O36" i="1"/>
  <c r="P26" i="1"/>
  <c r="P34" i="1"/>
  <c r="P30" i="1"/>
  <c r="O31" i="1"/>
  <c r="G34" i="1"/>
  <c r="K31" i="1"/>
  <c r="O26" i="1"/>
  <c r="O45" i="1" s="1"/>
  <c r="K33" i="1"/>
  <c r="G32" i="1"/>
  <c r="G33" i="1"/>
  <c r="G26" i="1"/>
  <c r="O34" i="1"/>
  <c r="O53" i="1" s="1"/>
  <c r="N38" i="1"/>
  <c r="K34" i="1"/>
  <c r="G28" i="1"/>
  <c r="K27" i="1"/>
  <c r="O32" i="1"/>
  <c r="O51" i="1" s="1"/>
  <c r="N29" i="1"/>
  <c r="G27" i="1"/>
  <c r="K26" i="1"/>
  <c r="O28" i="1"/>
  <c r="G29" i="1"/>
  <c r="K37" i="1"/>
  <c r="K30" i="1"/>
  <c r="O27" i="1"/>
  <c r="G36" i="1"/>
  <c r="K28" i="1"/>
  <c r="K5" i="4"/>
  <c r="V14" i="1"/>
  <c r="O6" i="4"/>
  <c r="M28" i="1"/>
  <c r="M36" i="1"/>
  <c r="M29" i="1"/>
  <c r="G35" i="1"/>
  <c r="G30" i="1"/>
  <c r="N35" i="1"/>
  <c r="N22" i="1"/>
  <c r="M38" i="1"/>
  <c r="I39" i="1"/>
  <c r="I40" i="1" s="1"/>
  <c r="D72" i="1"/>
  <c r="D73" i="1"/>
  <c r="D75" i="1"/>
  <c r="D70" i="1"/>
  <c r="D71" i="1"/>
  <c r="D77" i="1"/>
  <c r="D67" i="1"/>
  <c r="D69" i="1"/>
  <c r="G86" i="1"/>
  <c r="D93" i="1" s="1"/>
  <c r="D78" i="1"/>
  <c r="D74" i="1"/>
  <c r="D76" i="1"/>
  <c r="D59" i="1"/>
  <c r="V54" i="1"/>
  <c r="V76" i="1" s="1"/>
  <c r="AA9" i="1"/>
  <c r="AA7" i="1"/>
  <c r="V52" i="1"/>
  <c r="V74" i="1" s="1"/>
  <c r="G38" i="1"/>
  <c r="P38" i="1"/>
  <c r="R21" i="1"/>
  <c r="O15" i="4"/>
  <c r="O13" i="4"/>
  <c r="V17" i="1"/>
  <c r="N5" i="4"/>
  <c r="G44" i="1"/>
  <c r="W8" i="1"/>
  <c r="W12" i="1"/>
  <c r="K44" i="1"/>
  <c r="D174" i="1"/>
  <c r="W9" i="1"/>
  <c r="X9" i="1" s="1"/>
  <c r="H44" i="1"/>
  <c r="C159" i="1"/>
  <c r="D26" i="3"/>
  <c r="M5" i="4"/>
  <c r="V16" i="1"/>
  <c r="X16" i="1" s="1"/>
  <c r="O22" i="1"/>
  <c r="W10" i="1"/>
  <c r="X10" i="1" s="1"/>
  <c r="I44" i="1"/>
  <c r="X25" i="1"/>
  <c r="AB10" i="1"/>
  <c r="G22" i="1"/>
  <c r="V8" i="1"/>
  <c r="Q5" i="1"/>
  <c r="E5" i="4"/>
  <c r="K22" i="1"/>
  <c r="K38" i="1"/>
  <c r="V12" i="1"/>
  <c r="I5" i="4"/>
  <c r="D173" i="1"/>
  <c r="O38" i="1"/>
  <c r="O49" i="1"/>
  <c r="W15" i="1"/>
  <c r="N44" i="1"/>
  <c r="L44" i="1"/>
  <c r="W13" i="1"/>
  <c r="O12" i="4"/>
  <c r="M44" i="1"/>
  <c r="W14" i="1"/>
  <c r="V24" i="1"/>
  <c r="W17" i="1"/>
  <c r="P44" i="1"/>
  <c r="K86" i="1"/>
  <c r="B90" i="1" s="1"/>
  <c r="K108" i="1" s="1"/>
  <c r="B112" i="1" s="1"/>
  <c r="K130" i="1" s="1"/>
  <c r="B134" i="1" s="1"/>
  <c r="W66" i="1"/>
  <c r="W7" i="1"/>
  <c r="F44" i="1"/>
  <c r="W11" i="1"/>
  <c r="X11" i="1" s="1"/>
  <c r="J44" i="1"/>
  <c r="E44" i="1"/>
  <c r="Q20" i="1"/>
  <c r="W6" i="1"/>
  <c r="O14" i="4"/>
  <c r="L39" i="1" l="1"/>
  <c r="L58" i="1" s="1"/>
  <c r="H39" i="1"/>
  <c r="H40" i="1" s="1"/>
  <c r="G57" i="1"/>
  <c r="J39" i="1"/>
  <c r="J40" i="1" s="1"/>
  <c r="X7" i="1"/>
  <c r="K54" i="1"/>
  <c r="E39" i="1"/>
  <c r="E40" i="1" s="1"/>
  <c r="F39" i="1"/>
  <c r="F40" i="1" s="1"/>
  <c r="M39" i="1"/>
  <c r="M40" i="1" s="1"/>
  <c r="N39" i="1"/>
  <c r="N58" i="1" s="1"/>
  <c r="AA8" i="1"/>
  <c r="V53" i="1"/>
  <c r="V75" i="1" s="1"/>
  <c r="W26" i="1"/>
  <c r="O17" i="4"/>
  <c r="I58" i="1"/>
  <c r="D96" i="1"/>
  <c r="D90" i="1"/>
  <c r="D81" i="1"/>
  <c r="D89" i="1"/>
  <c r="D98" i="1"/>
  <c r="D99" i="1"/>
  <c r="D91" i="1"/>
  <c r="D100" i="1"/>
  <c r="D95" i="1"/>
  <c r="D97" i="1"/>
  <c r="D92" i="1"/>
  <c r="G108" i="1"/>
  <c r="D147" i="1" s="1"/>
  <c r="D94" i="1"/>
  <c r="V56" i="1"/>
  <c r="V78" i="1" s="1"/>
  <c r="AA11" i="1"/>
  <c r="O39" i="1"/>
  <c r="X8" i="1"/>
  <c r="P39" i="1"/>
  <c r="P40" i="1" s="1"/>
  <c r="G48" i="1"/>
  <c r="E47" i="1"/>
  <c r="E48" i="1"/>
  <c r="Q44" i="1"/>
  <c r="E45" i="1"/>
  <c r="E46" i="1"/>
  <c r="E56" i="1"/>
  <c r="E51" i="1"/>
  <c r="E53" i="1"/>
  <c r="E50" i="1"/>
  <c r="E49" i="1"/>
  <c r="E57" i="1"/>
  <c r="E54" i="1"/>
  <c r="E55" i="1"/>
  <c r="E52" i="1"/>
  <c r="X17" i="1"/>
  <c r="AB11" i="1"/>
  <c r="K57" i="1"/>
  <c r="K50" i="1"/>
  <c r="K55" i="1"/>
  <c r="O5" i="4"/>
  <c r="Q22" i="1"/>
  <c r="D155" i="1"/>
  <c r="O52" i="1"/>
  <c r="C160" i="1"/>
  <c r="D27" i="3"/>
  <c r="K48" i="1"/>
  <c r="V51" i="1"/>
  <c r="V73" i="1" s="1"/>
  <c r="AA6" i="1"/>
  <c r="H45" i="1"/>
  <c r="H51" i="1"/>
  <c r="H57" i="1"/>
  <c r="H46" i="1"/>
  <c r="H54" i="1"/>
  <c r="H47" i="1"/>
  <c r="H50" i="1"/>
  <c r="H53" i="1"/>
  <c r="H55" i="1"/>
  <c r="H48" i="1"/>
  <c r="H49" i="1"/>
  <c r="H52" i="1"/>
  <c r="H56" i="1"/>
  <c r="G46" i="1"/>
  <c r="K53" i="1"/>
  <c r="G56" i="1"/>
  <c r="O56" i="1"/>
  <c r="AB6" i="1"/>
  <c r="X12" i="1"/>
  <c r="O57" i="1"/>
  <c r="AA10" i="1"/>
  <c r="AC10" i="1" s="1"/>
  <c r="V55" i="1"/>
  <c r="V77" i="1" s="1"/>
  <c r="K46" i="1"/>
  <c r="G45" i="1"/>
  <c r="G39" i="1"/>
  <c r="G40" i="1" s="1"/>
  <c r="AB7" i="1"/>
  <c r="AC7" i="1" s="1"/>
  <c r="X13" i="1"/>
  <c r="O55" i="1"/>
  <c r="J45" i="1"/>
  <c r="J51" i="1"/>
  <c r="J49" i="1"/>
  <c r="J46" i="1"/>
  <c r="J53" i="1"/>
  <c r="J57" i="1"/>
  <c r="J55" i="1"/>
  <c r="J48" i="1"/>
  <c r="J50" i="1"/>
  <c r="J56" i="1"/>
  <c r="J54" i="1"/>
  <c r="J52" i="1"/>
  <c r="J47" i="1"/>
  <c r="G47" i="1"/>
  <c r="AB8" i="1"/>
  <c r="X14" i="1"/>
  <c r="L54" i="1"/>
  <c r="L50" i="1"/>
  <c r="L45" i="1"/>
  <c r="L51" i="1"/>
  <c r="L48" i="1"/>
  <c r="L49" i="1"/>
  <c r="L52" i="1"/>
  <c r="L53" i="1"/>
  <c r="L57" i="1"/>
  <c r="L46" i="1"/>
  <c r="L47" i="1"/>
  <c r="L56" i="1"/>
  <c r="L55" i="1"/>
  <c r="K45" i="1"/>
  <c r="K39" i="1"/>
  <c r="K47" i="1"/>
  <c r="G54" i="1"/>
  <c r="O50" i="1"/>
  <c r="K56" i="1"/>
  <c r="G50" i="1"/>
  <c r="P45" i="1"/>
  <c r="P51" i="1"/>
  <c r="P55" i="1"/>
  <c r="P47" i="1"/>
  <c r="P50" i="1"/>
  <c r="P53" i="1"/>
  <c r="P52" i="1"/>
  <c r="P56" i="1"/>
  <c r="P46" i="1"/>
  <c r="P49" i="1"/>
  <c r="P57" i="1"/>
  <c r="P54" i="1"/>
  <c r="P48" i="1"/>
  <c r="K49" i="1"/>
  <c r="K52" i="1"/>
  <c r="O48" i="1"/>
  <c r="M53" i="1"/>
  <c r="M49" i="1"/>
  <c r="M45" i="1"/>
  <c r="M50" i="1"/>
  <c r="M55" i="1"/>
  <c r="M52" i="1"/>
  <c r="M48" i="1"/>
  <c r="M51" i="1"/>
  <c r="M47" i="1"/>
  <c r="M46" i="1"/>
  <c r="M56" i="1"/>
  <c r="M57" i="1"/>
  <c r="M54" i="1"/>
  <c r="G52" i="1"/>
  <c r="J58" i="1"/>
  <c r="O54" i="1"/>
  <c r="G49" i="1"/>
  <c r="X6" i="1"/>
  <c r="W18" i="1"/>
  <c r="AB9" i="1"/>
  <c r="AC9" i="1" s="1"/>
  <c r="X15" i="1"/>
  <c r="D156" i="1"/>
  <c r="Z28" i="1"/>
  <c r="G55" i="1"/>
  <c r="G51" i="1"/>
  <c r="F54" i="1"/>
  <c r="F49" i="1"/>
  <c r="F56" i="1"/>
  <c r="F48" i="1"/>
  <c r="F45" i="1"/>
  <c r="F52" i="1"/>
  <c r="F51" i="1"/>
  <c r="F50" i="1"/>
  <c r="F57" i="1"/>
  <c r="F47" i="1"/>
  <c r="F53" i="1"/>
  <c r="F55" i="1"/>
  <c r="F46" i="1"/>
  <c r="N45" i="1"/>
  <c r="N47" i="1"/>
  <c r="N54" i="1"/>
  <c r="N48" i="1"/>
  <c r="N52" i="1"/>
  <c r="N56" i="1"/>
  <c r="N46" i="1"/>
  <c r="N55" i="1"/>
  <c r="N53" i="1"/>
  <c r="N49" i="1"/>
  <c r="N50" i="1"/>
  <c r="N51" i="1"/>
  <c r="N57" i="1"/>
  <c r="K51" i="1"/>
  <c r="G53" i="1"/>
  <c r="V47" i="1"/>
  <c r="V69" i="1" s="1"/>
  <c r="V18" i="1"/>
  <c r="V57" i="1" s="1"/>
  <c r="V79" i="1" s="1"/>
  <c r="O47" i="1"/>
  <c r="I45" i="1"/>
  <c r="I54" i="1"/>
  <c r="I55" i="1"/>
  <c r="I47" i="1"/>
  <c r="I48" i="1"/>
  <c r="I52" i="1"/>
  <c r="I56" i="1"/>
  <c r="I57" i="1"/>
  <c r="I53" i="1"/>
  <c r="I49" i="1"/>
  <c r="I50" i="1"/>
  <c r="I46" i="1"/>
  <c r="I51" i="1"/>
  <c r="O46" i="1"/>
  <c r="H58" i="1"/>
  <c r="L40" i="1" l="1"/>
  <c r="D28" i="3"/>
  <c r="C161" i="1"/>
  <c r="E58" i="1"/>
  <c r="F58" i="1"/>
  <c r="AC8" i="1"/>
  <c r="M58" i="1"/>
  <c r="N40" i="1"/>
  <c r="D140" i="1"/>
  <c r="D113" i="1"/>
  <c r="D115" i="1"/>
  <c r="D143" i="1"/>
  <c r="D117" i="1"/>
  <c r="D141" i="1"/>
  <c r="D139" i="1"/>
  <c r="D136" i="1"/>
  <c r="D111" i="1"/>
  <c r="D122" i="1"/>
  <c r="D114" i="1"/>
  <c r="D116" i="1"/>
  <c r="D103" i="1"/>
  <c r="D119" i="1"/>
  <c r="G130" i="1"/>
  <c r="D137" i="1"/>
  <c r="D118" i="1"/>
  <c r="D112" i="1"/>
  <c r="D144" i="1"/>
  <c r="D142" i="1"/>
  <c r="D120" i="1"/>
  <c r="D145" i="1"/>
  <c r="D138" i="1"/>
  <c r="D135" i="1"/>
  <c r="D133" i="1"/>
  <c r="D134" i="1"/>
  <c r="D146" i="1"/>
  <c r="D121" i="1"/>
  <c r="N61" i="1"/>
  <c r="L61" i="1"/>
  <c r="O61" i="1"/>
  <c r="O58" i="1"/>
  <c r="G61" i="1"/>
  <c r="AA12" i="1"/>
  <c r="P58" i="1"/>
  <c r="F61" i="1"/>
  <c r="AC11" i="1"/>
  <c r="K61" i="1"/>
  <c r="O40" i="1"/>
  <c r="H61" i="1"/>
  <c r="J61" i="1"/>
  <c r="I61" i="1"/>
  <c r="X18" i="1"/>
  <c r="X19" i="1" s="1"/>
  <c r="P61" i="1"/>
  <c r="M61" i="1"/>
  <c r="AC6" i="1"/>
  <c r="AB12" i="1"/>
  <c r="Q54" i="1"/>
  <c r="Q46" i="1"/>
  <c r="Q55" i="1"/>
  <c r="R57" i="1"/>
  <c r="S57" i="1" s="1"/>
  <c r="Q45" i="1"/>
  <c r="Q53" i="1"/>
  <c r="Q51" i="1"/>
  <c r="Q56" i="1"/>
  <c r="Q49" i="1"/>
  <c r="Q61" i="1"/>
  <c r="Q52" i="1"/>
  <c r="G58" i="1"/>
  <c r="Q50" i="1"/>
  <c r="Q48" i="1"/>
  <c r="K58" i="1"/>
  <c r="K40" i="1"/>
  <c r="E61" i="1"/>
  <c r="Q47" i="1"/>
  <c r="AC12" i="1" l="1"/>
  <c r="D125" i="1"/>
  <c r="R58" i="1"/>
  <c r="O66" i="1"/>
  <c r="W55" i="1"/>
  <c r="X55" i="1" s="1"/>
  <c r="W51" i="1"/>
  <c r="X51" i="1" s="1"/>
  <c r="D175" i="1"/>
  <c r="K66" i="1"/>
  <c r="W48" i="1"/>
  <c r="X48" i="1" s="1"/>
  <c r="H66" i="1"/>
  <c r="I66" i="1"/>
  <c r="W49" i="1"/>
  <c r="X49" i="1" s="1"/>
  <c r="W46" i="1"/>
  <c r="X46" i="1" s="1"/>
  <c r="F66" i="1"/>
  <c r="M66" i="1"/>
  <c r="W53" i="1"/>
  <c r="X53" i="1" s="1"/>
  <c r="W45" i="1"/>
  <c r="Q59" i="1"/>
  <c r="D157" i="1" s="1"/>
  <c r="J25" i="3" s="1"/>
  <c r="M25" i="3" s="1"/>
  <c r="E66" i="1"/>
  <c r="P66" i="1"/>
  <c r="W56" i="1"/>
  <c r="X56" i="1" s="1"/>
  <c r="N66" i="1"/>
  <c r="W54" i="1"/>
  <c r="X54" i="1" s="1"/>
  <c r="W52" i="1"/>
  <c r="X52" i="1" s="1"/>
  <c r="L66" i="1"/>
  <c r="E157" i="1"/>
  <c r="I25" i="3"/>
  <c r="L25" i="3" s="1"/>
  <c r="W47" i="1"/>
  <c r="X47" i="1" s="1"/>
  <c r="G66" i="1"/>
  <c r="W50" i="1"/>
  <c r="X50" i="1" s="1"/>
  <c r="J66" i="1"/>
  <c r="R60" i="1" l="1"/>
  <c r="S60" i="1" s="1"/>
  <c r="S58" i="1"/>
  <c r="H73" i="1"/>
  <c r="H68" i="1"/>
  <c r="H74" i="1"/>
  <c r="H71" i="1"/>
  <c r="H79" i="1"/>
  <c r="H78" i="1"/>
  <c r="H72" i="1"/>
  <c r="H67" i="1"/>
  <c r="H69" i="1"/>
  <c r="H77" i="1"/>
  <c r="H75" i="1"/>
  <c r="H76" i="1"/>
  <c r="H70" i="1"/>
  <c r="H80" i="1"/>
  <c r="L74" i="1"/>
  <c r="L75" i="1"/>
  <c r="L76" i="1"/>
  <c r="L67" i="1"/>
  <c r="L77" i="1"/>
  <c r="L79" i="1"/>
  <c r="L72" i="1"/>
  <c r="L70" i="1"/>
  <c r="L73" i="1"/>
  <c r="L71" i="1"/>
  <c r="L69" i="1"/>
  <c r="L78" i="1"/>
  <c r="L80" i="1"/>
  <c r="L68" i="1"/>
  <c r="X45" i="1"/>
  <c r="W57" i="1"/>
  <c r="X57" i="1" s="1"/>
  <c r="K76" i="1"/>
  <c r="K78" i="1"/>
  <c r="K72" i="1"/>
  <c r="K67" i="1"/>
  <c r="K79" i="1"/>
  <c r="K70" i="1"/>
  <c r="K74" i="1"/>
  <c r="K68" i="1"/>
  <c r="K75" i="1"/>
  <c r="K73" i="1"/>
  <c r="K77" i="1"/>
  <c r="K71" i="1"/>
  <c r="K69" i="1"/>
  <c r="K80" i="1"/>
  <c r="M70" i="1"/>
  <c r="M76" i="1"/>
  <c r="M71" i="1"/>
  <c r="M72" i="1"/>
  <c r="M68" i="1"/>
  <c r="M67" i="1"/>
  <c r="M75" i="1"/>
  <c r="M74" i="1"/>
  <c r="M69" i="1"/>
  <c r="M77" i="1"/>
  <c r="M79" i="1"/>
  <c r="M73" i="1"/>
  <c r="M78" i="1"/>
  <c r="M80" i="1"/>
  <c r="N75" i="1"/>
  <c r="N69" i="1"/>
  <c r="N76" i="1"/>
  <c r="N77" i="1"/>
  <c r="N71" i="1"/>
  <c r="N74" i="1"/>
  <c r="N79" i="1"/>
  <c r="N67" i="1"/>
  <c r="N70" i="1"/>
  <c r="N68" i="1"/>
  <c r="N72" i="1"/>
  <c r="N78" i="1"/>
  <c r="N73" i="1"/>
  <c r="N80" i="1"/>
  <c r="F69" i="1"/>
  <c r="F79" i="1"/>
  <c r="F76" i="1"/>
  <c r="F74" i="1"/>
  <c r="F71" i="1"/>
  <c r="F75" i="1"/>
  <c r="F73" i="1"/>
  <c r="F67" i="1"/>
  <c r="F78" i="1"/>
  <c r="F70" i="1"/>
  <c r="F68" i="1"/>
  <c r="F77" i="1"/>
  <c r="F72" i="1"/>
  <c r="F80" i="1"/>
  <c r="G69" i="1"/>
  <c r="G71" i="1"/>
  <c r="G79" i="1"/>
  <c r="G73" i="1"/>
  <c r="G75" i="1"/>
  <c r="G70" i="1"/>
  <c r="G67" i="1"/>
  <c r="G68" i="1"/>
  <c r="G77" i="1"/>
  <c r="G76" i="1"/>
  <c r="G72" i="1"/>
  <c r="G78" i="1"/>
  <c r="G74" i="1"/>
  <c r="G80" i="1"/>
  <c r="P76" i="1"/>
  <c r="P67" i="1"/>
  <c r="P75" i="1"/>
  <c r="P71" i="1"/>
  <c r="P79" i="1"/>
  <c r="P69" i="1"/>
  <c r="P74" i="1"/>
  <c r="P72" i="1"/>
  <c r="P78" i="1"/>
  <c r="P73" i="1"/>
  <c r="P77" i="1"/>
  <c r="P68" i="1"/>
  <c r="P70" i="1"/>
  <c r="P80" i="1"/>
  <c r="O73" i="1"/>
  <c r="O71" i="1"/>
  <c r="O67" i="1"/>
  <c r="O75" i="1"/>
  <c r="O78" i="1"/>
  <c r="O79" i="1"/>
  <c r="O68" i="1"/>
  <c r="O74" i="1"/>
  <c r="O80" i="1"/>
  <c r="O77" i="1"/>
  <c r="O70" i="1"/>
  <c r="O72" i="1"/>
  <c r="O69" i="1"/>
  <c r="O76" i="1"/>
  <c r="J76" i="1"/>
  <c r="J71" i="1"/>
  <c r="J79" i="1"/>
  <c r="J70" i="1"/>
  <c r="J68" i="1"/>
  <c r="J75" i="1"/>
  <c r="J67" i="1"/>
  <c r="J73" i="1"/>
  <c r="J72" i="1"/>
  <c r="J69" i="1"/>
  <c r="J77" i="1"/>
  <c r="J74" i="1"/>
  <c r="J78" i="1"/>
  <c r="J80" i="1"/>
  <c r="E70" i="1"/>
  <c r="E69" i="1"/>
  <c r="E73" i="1"/>
  <c r="E67" i="1"/>
  <c r="E75" i="1"/>
  <c r="Q66" i="1"/>
  <c r="E68" i="1"/>
  <c r="E72" i="1"/>
  <c r="E79" i="1"/>
  <c r="E74" i="1"/>
  <c r="E71" i="1"/>
  <c r="E78" i="1"/>
  <c r="E76" i="1"/>
  <c r="E77" i="1"/>
  <c r="E80" i="1"/>
  <c r="I70" i="1"/>
  <c r="I69" i="1"/>
  <c r="I68" i="1"/>
  <c r="I79" i="1"/>
  <c r="I74" i="1"/>
  <c r="I76" i="1"/>
  <c r="I71" i="1"/>
  <c r="I67" i="1"/>
  <c r="I77" i="1"/>
  <c r="I72" i="1"/>
  <c r="I73" i="1"/>
  <c r="I78" i="1"/>
  <c r="I75" i="1"/>
  <c r="I80" i="1"/>
  <c r="G83" i="1" l="1"/>
  <c r="P83" i="1"/>
  <c r="O83" i="1"/>
  <c r="F83" i="1"/>
  <c r="I83" i="1"/>
  <c r="J83" i="1"/>
  <c r="R80" i="1"/>
  <c r="S80" i="1" s="1"/>
  <c r="H83" i="1"/>
  <c r="Q76" i="1"/>
  <c r="N88" i="1" s="1"/>
  <c r="Q68" i="1"/>
  <c r="F88" i="1" s="1"/>
  <c r="N83" i="1"/>
  <c r="M83" i="1"/>
  <c r="K83" i="1"/>
  <c r="L83" i="1"/>
  <c r="Q77" i="1"/>
  <c r="Q83" i="1"/>
  <c r="E83" i="1"/>
  <c r="Q67" i="1"/>
  <c r="Q78" i="1"/>
  <c r="Q74" i="1"/>
  <c r="Q73" i="1"/>
  <c r="Q75" i="1"/>
  <c r="Q71" i="1"/>
  <c r="Q69" i="1"/>
  <c r="R79" i="1"/>
  <c r="S79" i="1" s="1"/>
  <c r="Q72" i="1"/>
  <c r="Q70" i="1"/>
  <c r="R82" i="1" l="1"/>
  <c r="S82" i="1" s="1"/>
  <c r="W68" i="1"/>
  <c r="X68" i="1" s="1"/>
  <c r="W76" i="1"/>
  <c r="X76" i="1" s="1"/>
  <c r="W75" i="1"/>
  <c r="X75" i="1" s="1"/>
  <c r="M88" i="1"/>
  <c r="W74" i="1"/>
  <c r="X74" i="1" s="1"/>
  <c r="L88" i="1"/>
  <c r="F98" i="1"/>
  <c r="F97" i="1"/>
  <c r="F92" i="1"/>
  <c r="F96" i="1"/>
  <c r="F95" i="1"/>
  <c r="F91" i="1"/>
  <c r="F89" i="1"/>
  <c r="F100" i="1"/>
  <c r="F90" i="1"/>
  <c r="F93" i="1"/>
  <c r="F94" i="1"/>
  <c r="F101" i="1"/>
  <c r="F102" i="1"/>
  <c r="F99" i="1"/>
  <c r="W77" i="1"/>
  <c r="X77" i="1" s="1"/>
  <c r="O88" i="1"/>
  <c r="W69" i="1"/>
  <c r="X69" i="1" s="1"/>
  <c r="G88" i="1"/>
  <c r="W70" i="1"/>
  <c r="X70" i="1" s="1"/>
  <c r="H88" i="1"/>
  <c r="D176" i="1"/>
  <c r="K88" i="1"/>
  <c r="W73" i="1"/>
  <c r="X73" i="1" s="1"/>
  <c r="J88" i="1"/>
  <c r="W72" i="1"/>
  <c r="X72" i="1" s="1"/>
  <c r="W78" i="1"/>
  <c r="X78" i="1" s="1"/>
  <c r="P88" i="1"/>
  <c r="N97" i="1"/>
  <c r="N93" i="1"/>
  <c r="N98" i="1"/>
  <c r="N101" i="1"/>
  <c r="N100" i="1"/>
  <c r="N91" i="1"/>
  <c r="N89" i="1"/>
  <c r="N99" i="1"/>
  <c r="N96" i="1"/>
  <c r="N92" i="1"/>
  <c r="N90" i="1"/>
  <c r="N94" i="1"/>
  <c r="N95" i="1"/>
  <c r="N102" i="1"/>
  <c r="Q81" i="1"/>
  <c r="D158" i="1" s="1"/>
  <c r="J26" i="3" s="1"/>
  <c r="M26" i="3" s="1"/>
  <c r="E88" i="1"/>
  <c r="W67" i="1"/>
  <c r="W71" i="1"/>
  <c r="X71" i="1" s="1"/>
  <c r="I88" i="1"/>
  <c r="E158" i="1"/>
  <c r="I26" i="3"/>
  <c r="L26" i="3" s="1"/>
  <c r="N105" i="1" l="1"/>
  <c r="F105" i="1"/>
  <c r="J93" i="1"/>
  <c r="J89" i="1"/>
  <c r="J98" i="1"/>
  <c r="J95" i="1"/>
  <c r="J97" i="1"/>
  <c r="J101" i="1"/>
  <c r="J92" i="1"/>
  <c r="J94" i="1"/>
  <c r="J96" i="1"/>
  <c r="J90" i="1"/>
  <c r="J100" i="1"/>
  <c r="J99" i="1"/>
  <c r="J91" i="1"/>
  <c r="J102" i="1"/>
  <c r="O97" i="1"/>
  <c r="O95" i="1"/>
  <c r="O93" i="1"/>
  <c r="O89" i="1"/>
  <c r="O102" i="1"/>
  <c r="O90" i="1"/>
  <c r="O91" i="1"/>
  <c r="O96" i="1"/>
  <c r="O100" i="1"/>
  <c r="O98" i="1"/>
  <c r="O94" i="1"/>
  <c r="O99" i="1"/>
  <c r="O92" i="1"/>
  <c r="O101" i="1"/>
  <c r="G93" i="1"/>
  <c r="G91" i="1"/>
  <c r="G101" i="1"/>
  <c r="G97" i="1"/>
  <c r="G98" i="1"/>
  <c r="G90" i="1"/>
  <c r="G94" i="1"/>
  <c r="G100" i="1"/>
  <c r="G96" i="1"/>
  <c r="G99" i="1"/>
  <c r="G89" i="1"/>
  <c r="G92" i="1"/>
  <c r="G95" i="1"/>
  <c r="G102" i="1"/>
  <c r="L101" i="1"/>
  <c r="L92" i="1"/>
  <c r="L97" i="1"/>
  <c r="L99" i="1"/>
  <c r="L93" i="1"/>
  <c r="L98" i="1"/>
  <c r="L95" i="1"/>
  <c r="L91" i="1"/>
  <c r="L94" i="1"/>
  <c r="L96" i="1"/>
  <c r="L89" i="1"/>
  <c r="L100" i="1"/>
  <c r="L102" i="1"/>
  <c r="L90" i="1"/>
  <c r="P89" i="1"/>
  <c r="P98" i="1"/>
  <c r="P96" i="1"/>
  <c r="P97" i="1"/>
  <c r="P95" i="1"/>
  <c r="P101" i="1"/>
  <c r="P94" i="1"/>
  <c r="P91" i="1"/>
  <c r="P100" i="1"/>
  <c r="P93" i="1"/>
  <c r="P90" i="1"/>
  <c r="P99" i="1"/>
  <c r="P92" i="1"/>
  <c r="P102" i="1"/>
  <c r="K98" i="1"/>
  <c r="K100" i="1"/>
  <c r="K96" i="1"/>
  <c r="K92" i="1"/>
  <c r="K97" i="1"/>
  <c r="K99" i="1"/>
  <c r="K89" i="1"/>
  <c r="K93" i="1"/>
  <c r="K95" i="1"/>
  <c r="K101" i="1"/>
  <c r="K90" i="1"/>
  <c r="K91" i="1"/>
  <c r="K94" i="1"/>
  <c r="K102" i="1"/>
  <c r="I98" i="1"/>
  <c r="I100" i="1"/>
  <c r="I90" i="1"/>
  <c r="I93" i="1"/>
  <c r="I101" i="1"/>
  <c r="I96" i="1"/>
  <c r="I94" i="1"/>
  <c r="I99" i="1"/>
  <c r="I91" i="1"/>
  <c r="I92" i="1"/>
  <c r="I89" i="1"/>
  <c r="I95" i="1"/>
  <c r="I97" i="1"/>
  <c r="I102" i="1"/>
  <c r="X67" i="1"/>
  <c r="W79" i="1"/>
  <c r="X79" i="1" s="1"/>
  <c r="M92" i="1"/>
  <c r="M95" i="1"/>
  <c r="M93" i="1"/>
  <c r="M97" i="1"/>
  <c r="M99" i="1"/>
  <c r="M96" i="1"/>
  <c r="M90" i="1"/>
  <c r="M94" i="1"/>
  <c r="M89" i="1"/>
  <c r="M100" i="1"/>
  <c r="M98" i="1"/>
  <c r="M101" i="1"/>
  <c r="M91" i="1"/>
  <c r="M102" i="1"/>
  <c r="E94" i="1"/>
  <c r="E96" i="1"/>
  <c r="E93" i="1"/>
  <c r="E101" i="1"/>
  <c r="E95" i="1"/>
  <c r="E92" i="1"/>
  <c r="E99" i="1"/>
  <c r="E90" i="1"/>
  <c r="E97" i="1"/>
  <c r="E100" i="1"/>
  <c r="E89" i="1"/>
  <c r="E98" i="1"/>
  <c r="E91" i="1"/>
  <c r="Q88" i="1"/>
  <c r="E102" i="1"/>
  <c r="H93" i="1"/>
  <c r="H98" i="1"/>
  <c r="H96" i="1"/>
  <c r="H94" i="1"/>
  <c r="H91" i="1"/>
  <c r="H101" i="1"/>
  <c r="H89" i="1"/>
  <c r="H90" i="1"/>
  <c r="H92" i="1"/>
  <c r="H100" i="1"/>
  <c r="H95" i="1"/>
  <c r="H97" i="1"/>
  <c r="H99" i="1"/>
  <c r="H102" i="1"/>
  <c r="Q91" i="1" l="1"/>
  <c r="G110" i="1" s="1"/>
  <c r="G123" i="1" s="1"/>
  <c r="Q95" i="1"/>
  <c r="K110" i="1" s="1"/>
  <c r="M105" i="1"/>
  <c r="I105" i="1"/>
  <c r="O105" i="1"/>
  <c r="L105" i="1"/>
  <c r="Q98" i="1"/>
  <c r="N110" i="1" s="1"/>
  <c r="N116" i="1" s="1"/>
  <c r="G105" i="1"/>
  <c r="H105" i="1"/>
  <c r="Q89" i="1"/>
  <c r="E110" i="1" s="1"/>
  <c r="K105" i="1"/>
  <c r="P105" i="1"/>
  <c r="J105" i="1"/>
  <c r="Q96" i="1"/>
  <c r="L110" i="1" s="1"/>
  <c r="R101" i="1"/>
  <c r="S101" i="1" s="1"/>
  <c r="E105" i="1"/>
  <c r="Q90" i="1"/>
  <c r="F110" i="1" s="1"/>
  <c r="Q94" i="1"/>
  <c r="J110" i="1" s="1"/>
  <c r="Q97" i="1"/>
  <c r="M110" i="1" s="1"/>
  <c r="Q99" i="1"/>
  <c r="O110" i="1" s="1"/>
  <c r="Q93" i="1"/>
  <c r="I110" i="1" s="1"/>
  <c r="Q100" i="1"/>
  <c r="P110" i="1" s="1"/>
  <c r="R102" i="1"/>
  <c r="S102" i="1" s="1"/>
  <c r="Q105" i="1"/>
  <c r="Q92" i="1"/>
  <c r="H110" i="1" s="1"/>
  <c r="N122" i="1" l="1"/>
  <c r="N120" i="1"/>
  <c r="G120" i="1"/>
  <c r="G119" i="1"/>
  <c r="G121" i="1"/>
  <c r="N114" i="1"/>
  <c r="G114" i="1"/>
  <c r="G118" i="1"/>
  <c r="G124" i="1"/>
  <c r="G116" i="1"/>
  <c r="G112" i="1"/>
  <c r="G117" i="1"/>
  <c r="G115" i="1"/>
  <c r="N113" i="1"/>
  <c r="G122" i="1"/>
  <c r="N115" i="1"/>
  <c r="G113" i="1"/>
  <c r="G111" i="1"/>
  <c r="N118" i="1"/>
  <c r="N119" i="1"/>
  <c r="N117" i="1"/>
  <c r="P135" i="1"/>
  <c r="P139" i="1"/>
  <c r="P134" i="1"/>
  <c r="P137" i="1"/>
  <c r="P136" i="1"/>
  <c r="P140" i="1"/>
  <c r="P144" i="1"/>
  <c r="P142" i="1"/>
  <c r="P138" i="1"/>
  <c r="P145" i="1"/>
  <c r="P141" i="1"/>
  <c r="P143" i="1"/>
  <c r="P146" i="1"/>
  <c r="N111" i="1"/>
  <c r="N112" i="1"/>
  <c r="N124" i="1"/>
  <c r="N123" i="1"/>
  <c r="N121" i="1"/>
  <c r="E159" i="1"/>
  <c r="I27" i="3"/>
  <c r="L27" i="3" s="1"/>
  <c r="H119" i="1"/>
  <c r="H121" i="1"/>
  <c r="H118" i="1"/>
  <c r="H123" i="1"/>
  <c r="H117" i="1"/>
  <c r="H116" i="1"/>
  <c r="H115" i="1"/>
  <c r="H122" i="1"/>
  <c r="H120" i="1"/>
  <c r="H113" i="1"/>
  <c r="H111" i="1"/>
  <c r="H112" i="1"/>
  <c r="H114" i="1"/>
  <c r="H124" i="1"/>
  <c r="Q103" i="1"/>
  <c r="D159" i="1" s="1"/>
  <c r="J27" i="3" s="1"/>
  <c r="M27" i="3" s="1"/>
  <c r="K120" i="1"/>
  <c r="K122" i="1"/>
  <c r="K116" i="1"/>
  <c r="K118" i="1"/>
  <c r="K112" i="1"/>
  <c r="K119" i="1"/>
  <c r="K113" i="1"/>
  <c r="K121" i="1"/>
  <c r="K114" i="1"/>
  <c r="K111" i="1"/>
  <c r="K123" i="1"/>
  <c r="K117" i="1"/>
  <c r="K115" i="1"/>
  <c r="K124" i="1"/>
  <c r="L123" i="1"/>
  <c r="L119" i="1"/>
  <c r="L114" i="1"/>
  <c r="L118" i="1"/>
  <c r="L121" i="1"/>
  <c r="L112" i="1"/>
  <c r="L115" i="1"/>
  <c r="L113" i="1"/>
  <c r="L116" i="1"/>
  <c r="L111" i="1"/>
  <c r="L120" i="1"/>
  <c r="L117" i="1"/>
  <c r="L124" i="1"/>
  <c r="L122" i="1"/>
  <c r="O119" i="1"/>
  <c r="O111" i="1"/>
  <c r="O117" i="1"/>
  <c r="O115" i="1"/>
  <c r="O113" i="1"/>
  <c r="O123" i="1"/>
  <c r="O112" i="1"/>
  <c r="O116" i="1"/>
  <c r="O120" i="1"/>
  <c r="O124" i="1"/>
  <c r="O122" i="1"/>
  <c r="O121" i="1"/>
  <c r="O114" i="1"/>
  <c r="O118" i="1"/>
  <c r="M119" i="1"/>
  <c r="M118" i="1"/>
  <c r="M112" i="1"/>
  <c r="M111" i="1"/>
  <c r="M120" i="1"/>
  <c r="M113" i="1"/>
  <c r="M121" i="1"/>
  <c r="M115" i="1"/>
  <c r="M123" i="1"/>
  <c r="M114" i="1"/>
  <c r="M116" i="1"/>
  <c r="M117" i="1"/>
  <c r="M122" i="1"/>
  <c r="M124" i="1"/>
  <c r="F119" i="1"/>
  <c r="F117" i="1"/>
  <c r="F113" i="1"/>
  <c r="F116" i="1"/>
  <c r="F111" i="1"/>
  <c r="F120" i="1"/>
  <c r="F118" i="1"/>
  <c r="F123" i="1"/>
  <c r="F115" i="1"/>
  <c r="F122" i="1"/>
  <c r="F112" i="1"/>
  <c r="F114" i="1"/>
  <c r="F121" i="1"/>
  <c r="F124" i="1"/>
  <c r="I122" i="1"/>
  <c r="I113" i="1"/>
  <c r="I114" i="1"/>
  <c r="I115" i="1"/>
  <c r="I116" i="1"/>
  <c r="I123" i="1"/>
  <c r="I112" i="1"/>
  <c r="I120" i="1"/>
  <c r="I118" i="1"/>
  <c r="I121" i="1"/>
  <c r="I111" i="1"/>
  <c r="I117" i="1"/>
  <c r="I119" i="1"/>
  <c r="I124" i="1"/>
  <c r="E119" i="1"/>
  <c r="E123" i="1"/>
  <c r="E117" i="1"/>
  <c r="E113" i="1"/>
  <c r="E111" i="1"/>
  <c r="E118" i="1"/>
  <c r="E112" i="1"/>
  <c r="E116" i="1"/>
  <c r="E114" i="1"/>
  <c r="E121" i="1"/>
  <c r="E115" i="1"/>
  <c r="E120" i="1"/>
  <c r="E122" i="1"/>
  <c r="E124" i="1"/>
  <c r="J120" i="1"/>
  <c r="J113" i="1"/>
  <c r="J112" i="1"/>
  <c r="J119" i="1"/>
  <c r="J118" i="1"/>
  <c r="J111" i="1"/>
  <c r="J116" i="1"/>
  <c r="J123" i="1"/>
  <c r="J114" i="1"/>
  <c r="J115" i="1"/>
  <c r="J117" i="1"/>
  <c r="J121" i="1"/>
  <c r="J122" i="1"/>
  <c r="J124" i="1"/>
  <c r="D177" i="1"/>
  <c r="R104" i="1"/>
  <c r="S104" i="1" s="1"/>
  <c r="G127" i="1" l="1"/>
  <c r="O127" i="1"/>
  <c r="M127" i="1"/>
  <c r="J127" i="1"/>
  <c r="I127" i="1"/>
  <c r="K127" i="1"/>
  <c r="N127" i="1"/>
  <c r="L127" i="1"/>
  <c r="H127" i="1"/>
  <c r="F127" i="1"/>
  <c r="E127" i="1"/>
  <c r="P133" i="1"/>
  <c r="P123" i="1"/>
  <c r="R123" i="1" s="1"/>
  <c r="P124" i="1"/>
  <c r="R124" i="1" s="1"/>
  <c r="P119" i="1"/>
  <c r="Q119" i="1" s="1"/>
  <c r="M132" i="1" s="1"/>
  <c r="P116" i="1"/>
  <c r="Q116" i="1" s="1"/>
  <c r="J132" i="1" s="1"/>
  <c r="P120" i="1"/>
  <c r="Q120" i="1" s="1"/>
  <c r="N132" i="1" s="1"/>
  <c r="P112" i="1"/>
  <c r="Q112" i="1" s="1"/>
  <c r="F132" i="1" s="1"/>
  <c r="P118" i="1"/>
  <c r="Q118" i="1" s="1"/>
  <c r="L132" i="1" s="1"/>
  <c r="P121" i="1"/>
  <c r="Q121" i="1" s="1"/>
  <c r="O132" i="1" s="1"/>
  <c r="P113" i="1"/>
  <c r="Q113" i="1" s="1"/>
  <c r="G132" i="1" s="1"/>
  <c r="P115" i="1"/>
  <c r="Q115" i="1" s="1"/>
  <c r="I132" i="1" s="1"/>
  <c r="P117" i="1"/>
  <c r="Q117" i="1" s="1"/>
  <c r="P111" i="1"/>
  <c r="Q111" i="1" s="1"/>
  <c r="E132" i="1" s="1"/>
  <c r="Q110" i="1"/>
  <c r="P122" i="1"/>
  <c r="Q122" i="1" s="1"/>
  <c r="P132" i="1" s="1"/>
  <c r="P114" i="1"/>
  <c r="Q114" i="1" s="1"/>
  <c r="H132" i="1" s="1"/>
  <c r="F133" i="1" l="1"/>
  <c r="F145" i="1"/>
  <c r="F138" i="1"/>
  <c r="F139" i="1"/>
  <c r="F142" i="1"/>
  <c r="F140" i="1"/>
  <c r="F141" i="1"/>
  <c r="F135" i="1"/>
  <c r="F134" i="1"/>
  <c r="F136" i="1"/>
  <c r="F143" i="1"/>
  <c r="F144" i="1"/>
  <c r="F137" i="1"/>
  <c r="F146" i="1"/>
  <c r="E135" i="1"/>
  <c r="E144" i="1"/>
  <c r="E140" i="1"/>
  <c r="E134" i="1"/>
  <c r="E141" i="1"/>
  <c r="E142" i="1"/>
  <c r="E143" i="1"/>
  <c r="E139" i="1"/>
  <c r="E137" i="1"/>
  <c r="E136" i="1"/>
  <c r="E138" i="1"/>
  <c r="E145" i="1"/>
  <c r="E146" i="1"/>
  <c r="H133" i="1"/>
  <c r="H143" i="1"/>
  <c r="H141" i="1"/>
  <c r="H144" i="1"/>
  <c r="H135" i="1"/>
  <c r="H137" i="1"/>
  <c r="H139" i="1"/>
  <c r="H136" i="1"/>
  <c r="H146" i="1"/>
  <c r="H142" i="1"/>
  <c r="H138" i="1"/>
  <c r="H134" i="1"/>
  <c r="H145" i="1"/>
  <c r="H140" i="1"/>
  <c r="L133" i="1"/>
  <c r="L140" i="1"/>
  <c r="L144" i="1"/>
  <c r="L142" i="1"/>
  <c r="L135" i="1"/>
  <c r="L134" i="1"/>
  <c r="L143" i="1"/>
  <c r="L141" i="1"/>
  <c r="L138" i="1"/>
  <c r="L137" i="1"/>
  <c r="L139" i="1"/>
  <c r="L145" i="1"/>
  <c r="L136" i="1"/>
  <c r="L146" i="1"/>
  <c r="I133" i="1"/>
  <c r="I139" i="1"/>
  <c r="I137" i="1"/>
  <c r="I143" i="1"/>
  <c r="I138" i="1"/>
  <c r="I144" i="1"/>
  <c r="I141" i="1"/>
  <c r="I140" i="1"/>
  <c r="I142" i="1"/>
  <c r="I134" i="1"/>
  <c r="I136" i="1"/>
  <c r="I135" i="1"/>
  <c r="I145" i="1"/>
  <c r="I146" i="1"/>
  <c r="O133" i="1"/>
  <c r="O141" i="1"/>
  <c r="O139" i="1"/>
  <c r="O137" i="1"/>
  <c r="O136" i="1"/>
  <c r="O140" i="1"/>
  <c r="O135" i="1"/>
  <c r="O134" i="1"/>
  <c r="O145" i="1"/>
  <c r="O142" i="1"/>
  <c r="O143" i="1"/>
  <c r="O138" i="1"/>
  <c r="O144" i="1"/>
  <c r="O146" i="1"/>
  <c r="J133" i="1"/>
  <c r="J143" i="1"/>
  <c r="J145" i="1"/>
  <c r="J144" i="1"/>
  <c r="J142" i="1"/>
  <c r="J134" i="1"/>
  <c r="J140" i="1"/>
  <c r="J138" i="1"/>
  <c r="J137" i="1"/>
  <c r="J139" i="1"/>
  <c r="J141" i="1"/>
  <c r="J136" i="1"/>
  <c r="J135" i="1"/>
  <c r="J146" i="1"/>
  <c r="M133" i="1"/>
  <c r="M135" i="1"/>
  <c r="M138" i="1"/>
  <c r="M141" i="1"/>
  <c r="M139" i="1"/>
  <c r="M140" i="1"/>
  <c r="M136" i="1"/>
  <c r="M142" i="1"/>
  <c r="M134" i="1"/>
  <c r="M137" i="1"/>
  <c r="M145" i="1"/>
  <c r="M144" i="1"/>
  <c r="M143" i="1"/>
  <c r="M146" i="1"/>
  <c r="N133" i="1"/>
  <c r="N137" i="1"/>
  <c r="N145" i="1"/>
  <c r="N138" i="1"/>
  <c r="N135" i="1"/>
  <c r="N146" i="1"/>
  <c r="N142" i="1"/>
  <c r="N140" i="1"/>
  <c r="N136" i="1"/>
  <c r="N134" i="1"/>
  <c r="N143" i="1"/>
  <c r="N144" i="1"/>
  <c r="N139" i="1"/>
  <c r="N141" i="1"/>
  <c r="P127" i="1"/>
  <c r="G133" i="1"/>
  <c r="G137" i="1"/>
  <c r="G135" i="1"/>
  <c r="G134" i="1"/>
  <c r="G136" i="1"/>
  <c r="G143" i="1"/>
  <c r="G144" i="1"/>
  <c r="G141" i="1"/>
  <c r="G142" i="1"/>
  <c r="G139" i="1"/>
  <c r="G138" i="1"/>
  <c r="G145" i="1"/>
  <c r="G140" i="1"/>
  <c r="G146" i="1"/>
  <c r="K132" i="1"/>
  <c r="D178" i="1"/>
  <c r="E133" i="1"/>
  <c r="R126" i="1"/>
  <c r="Q127" i="1"/>
  <c r="Q125" i="1"/>
  <c r="D160" i="1" s="1"/>
  <c r="J28" i="3" s="1"/>
  <c r="M28" i="3" s="1"/>
  <c r="I149" i="1" l="1"/>
  <c r="G149" i="1"/>
  <c r="K133" i="1"/>
  <c r="Q133" i="1" s="1"/>
  <c r="K142" i="1"/>
  <c r="Q142" i="1" s="1"/>
  <c r="K144" i="1"/>
  <c r="Q144" i="1" s="1"/>
  <c r="K138" i="1"/>
  <c r="Q138" i="1" s="1"/>
  <c r="K136" i="1"/>
  <c r="Q136" i="1" s="1"/>
  <c r="K141" i="1"/>
  <c r="Q141" i="1" s="1"/>
  <c r="K135" i="1"/>
  <c r="K139" i="1"/>
  <c r="Q139" i="1" s="1"/>
  <c r="K134" i="1"/>
  <c r="Q134" i="1" s="1"/>
  <c r="K143" i="1"/>
  <c r="Q143" i="1" s="1"/>
  <c r="K137" i="1"/>
  <c r="Q137" i="1" s="1"/>
  <c r="K145" i="1"/>
  <c r="R145" i="1" s="1"/>
  <c r="K140" i="1"/>
  <c r="Q140" i="1" s="1"/>
  <c r="K146" i="1"/>
  <c r="R146" i="1" s="1"/>
  <c r="J149" i="1"/>
  <c r="H149" i="1"/>
  <c r="N149" i="1"/>
  <c r="O149" i="1"/>
  <c r="M149" i="1"/>
  <c r="L149" i="1"/>
  <c r="F149" i="1"/>
  <c r="E149" i="1"/>
  <c r="E160" i="1"/>
  <c r="I28" i="3"/>
  <c r="L28" i="3" s="1"/>
  <c r="P149" i="1"/>
  <c r="Q132" i="1"/>
  <c r="Q149" i="1" l="1"/>
  <c r="E161" i="1" s="1"/>
  <c r="R148" i="1"/>
  <c r="K149" i="1"/>
  <c r="Q135" i="1"/>
  <c r="Q147" i="1" s="1"/>
  <c r="D161" i="1" s="1"/>
</calcChain>
</file>

<file path=xl/sharedStrings.xml><?xml version="1.0" encoding="utf-8"?>
<sst xmlns="http://schemas.openxmlformats.org/spreadsheetml/2006/main" count="607" uniqueCount="95">
  <si>
    <t>Markov Chain Enrollment Projection</t>
  </si>
  <si>
    <t xml:space="preserve">Change the model's parameters to  </t>
  </si>
  <si>
    <t xml:space="preserve">% change to overall retention </t>
  </si>
  <si>
    <t>% change of new students entering each year</t>
  </si>
  <si>
    <t>%</t>
  </si>
  <si>
    <t>head-</t>
  </si>
  <si>
    <t>retent.</t>
  </si>
  <si>
    <t>count</t>
  </si>
  <si>
    <t>Fall</t>
  </si>
  <si>
    <t>Existing profile</t>
  </si>
  <si>
    <t xml:space="preserve">      </t>
  </si>
  <si>
    <t xml:space="preserve"> </t>
  </si>
  <si>
    <t>students entering the system</t>
  </si>
  <si>
    <t>FT Fresh.</t>
  </si>
  <si>
    <t>Con. Fresh.</t>
  </si>
  <si>
    <t xml:space="preserve">Soph.  </t>
  </si>
  <si>
    <t>Junior</t>
  </si>
  <si>
    <t>Senior</t>
  </si>
  <si>
    <t xml:space="preserve">Ungrd Spec   </t>
  </si>
  <si>
    <t xml:space="preserve">Masters      </t>
  </si>
  <si>
    <t>Prof 1</t>
  </si>
  <si>
    <t>Prof 2</t>
  </si>
  <si>
    <t>Prof 3</t>
  </si>
  <si>
    <t xml:space="preserve">Doc 1 </t>
  </si>
  <si>
    <t xml:space="preserve">Doc 2 </t>
  </si>
  <si>
    <t>total</t>
  </si>
  <si>
    <t xml:space="preserve">FT Freshmen  </t>
  </si>
  <si>
    <t xml:space="preserve">Con. Freshmen     </t>
  </si>
  <si>
    <t xml:space="preserve">Sophomore     </t>
  </si>
  <si>
    <t xml:space="preserve">Junior       </t>
  </si>
  <si>
    <t xml:space="preserve">Senior       </t>
  </si>
  <si>
    <t xml:space="preserve">Prof 1       </t>
  </si>
  <si>
    <t xml:space="preserve">Prof 2       </t>
  </si>
  <si>
    <t xml:space="preserve">Prof 3       </t>
  </si>
  <si>
    <t xml:space="preserve">Doc 1        </t>
  </si>
  <si>
    <t xml:space="preserve">Doc 2        </t>
  </si>
  <si>
    <t xml:space="preserve">degree granted     </t>
  </si>
  <si>
    <t xml:space="preserve">dropout      </t>
  </si>
  <si>
    <t>total students entering</t>
  </si>
  <si>
    <t>total enrolled:</t>
  </si>
  <si>
    <t>total leaving:</t>
  </si>
  <si>
    <t>% retained or graduated</t>
  </si>
  <si>
    <t>Retention change over all projected years</t>
  </si>
  <si>
    <t>Transition Matrix</t>
  </si>
  <si>
    <t xml:space="preserve">  .   </t>
  </si>
  <si>
    <t>New students increase over base year</t>
  </si>
  <si>
    <t xml:space="preserve">Fall </t>
  </si>
  <si>
    <t>Forecast</t>
  </si>
  <si>
    <t>Fixed projections without modifying parameters</t>
  </si>
  <si>
    <t>parameters</t>
  </si>
  <si>
    <t>Modified with</t>
  </si>
  <si>
    <t>values</t>
  </si>
  <si>
    <t>Fixed</t>
  </si>
  <si>
    <r>
      <t xml:space="preserve">% </t>
    </r>
    <r>
      <rPr>
        <i/>
        <sz val="8"/>
        <rFont val="Symbol"/>
        <family val="1"/>
        <charset val="2"/>
      </rPr>
      <t>D</t>
    </r>
  </si>
  <si>
    <r>
      <rPr>
        <i/>
        <sz val="8"/>
        <rFont val="Symbol"/>
        <family val="1"/>
        <charset val="2"/>
      </rPr>
      <t xml:space="preserve">D </t>
    </r>
    <r>
      <rPr>
        <i/>
        <sz val="8"/>
        <rFont val="Arial"/>
        <family val="2"/>
      </rPr>
      <t>head-</t>
    </r>
  </si>
  <si>
    <t>Differences with</t>
  </si>
  <si>
    <t>evaluate various scenarios.</t>
  </si>
  <si>
    <t xml:space="preserve">Resulting headcount &amp; 1-yr retention given the </t>
  </si>
  <si>
    <t xml:space="preserve">rate remains unchanged in this model, a 1% change to overall </t>
  </si>
  <si>
    <r>
      <t>fixed graduation rate.  (</t>
    </r>
    <r>
      <rPr>
        <sz val="10"/>
        <rFont val="Arial"/>
        <family val="2"/>
      </rPr>
      <t xml:space="preserve">E.g., Because the graduation </t>
    </r>
  </si>
  <si>
    <t>retention will result in a less-than-1% effect.)</t>
  </si>
  <si>
    <t>D</t>
  </si>
  <si>
    <t>Graduate Students</t>
  </si>
  <si>
    <t>graduated</t>
  </si>
  <si>
    <t>dropped</t>
  </si>
  <si>
    <t>leaving</t>
  </si>
  <si>
    <t>out</t>
  </si>
  <si>
    <t>in</t>
  </si>
  <si>
    <t>new outside</t>
  </si>
  <si>
    <t>new inside</t>
  </si>
  <si>
    <t>loss inside</t>
  </si>
  <si>
    <t>Law</t>
  </si>
  <si>
    <t>Doctoral</t>
  </si>
  <si>
    <t xml:space="preserve">Degree Granted     </t>
  </si>
  <si>
    <t xml:space="preserve">Dropout      </t>
  </si>
  <si>
    <t>Set fixed projections above at update.  Copy and paste values (not formula) from d135 -e138 into d142 -e145.</t>
  </si>
  <si>
    <t>.</t>
  </si>
  <si>
    <t>Soph.</t>
  </si>
  <si>
    <t>Ungrd. Spec.</t>
  </si>
  <si>
    <t>Masters</t>
  </si>
  <si>
    <t>Doc 1</t>
  </si>
  <si>
    <t>Doc 2</t>
  </si>
  <si>
    <t>N</t>
  </si>
  <si>
    <t>degree granted</t>
  </si>
  <si>
    <t>dropout</t>
  </si>
  <si>
    <t>UG</t>
  </si>
  <si>
    <t>GR</t>
  </si>
  <si>
    <t>LW</t>
  </si>
  <si>
    <t>Total</t>
  </si>
  <si>
    <t>Fall 2020</t>
  </si>
  <si>
    <t>Fall 2021 Projected</t>
  </si>
  <si>
    <t>Difference</t>
  </si>
  <si>
    <t>Level</t>
  </si>
  <si>
    <t>Markov Chain, Using the Fall Semesters of 202280 and 202310</t>
  </si>
  <si>
    <t>Modeling Enrollment for Fall 2023 and Beyond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</si>
</sst>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%"/>
    <numFmt numFmtId="167" formatCode="0_);[Red]\(0\)"/>
  </numFmts>
  <fonts count="5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8"/>
      <color indexed="48"/>
      <name val="Arial Narrow"/>
      <family val="2"/>
    </font>
    <font>
      <sz val="8"/>
      <color indexed="56"/>
      <name val="Arial Narrow"/>
      <family val="2"/>
    </font>
    <font>
      <sz val="8"/>
      <color indexed="50"/>
      <name val="Arial Narrow"/>
      <family val="2"/>
    </font>
    <font>
      <sz val="6"/>
      <name val="Arial Narrow"/>
      <family val="2"/>
    </font>
    <font>
      <i/>
      <sz val="8"/>
      <name val="Arial Narrow"/>
      <family val="2"/>
    </font>
    <font>
      <b/>
      <sz val="10"/>
      <color indexed="33"/>
      <name val="Arial Narrow"/>
      <family val="2"/>
    </font>
    <font>
      <b/>
      <i/>
      <sz val="10"/>
      <name val="Arial Narrow"/>
      <family val="2"/>
    </font>
    <font>
      <sz val="8"/>
      <color indexed="33"/>
      <name val="Arial Narrow"/>
      <family val="2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sz val="14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i/>
      <sz val="8"/>
      <color indexed="56"/>
      <name val="Arial Narrow"/>
      <family val="2"/>
    </font>
    <font>
      <sz val="8"/>
      <color indexed="61"/>
      <name val="Arial Narrow"/>
      <family val="2"/>
    </font>
    <font>
      <sz val="14"/>
      <color theme="2" tint="-0.749992370372631"/>
      <name val="Arial"/>
      <family val="2"/>
    </font>
    <font>
      <sz val="8"/>
      <color rgb="FF92D050"/>
      <name val="Arial Narrow"/>
      <family val="2"/>
    </font>
    <font>
      <sz val="10"/>
      <name val="Arial Narrow"/>
      <family val="2"/>
    </font>
    <font>
      <i/>
      <sz val="8"/>
      <name val="Arial"/>
      <family val="2"/>
    </font>
    <font>
      <b/>
      <sz val="12"/>
      <color rgb="FFC00000"/>
      <name val="Arial Narrow"/>
      <family val="2"/>
    </font>
    <font>
      <b/>
      <sz val="9"/>
      <name val="Arial"/>
      <family val="2"/>
    </font>
    <font>
      <b/>
      <sz val="8"/>
      <name val="Arial Narrow"/>
      <family val="2"/>
    </font>
    <font>
      <i/>
      <sz val="8"/>
      <name val="Symbol"/>
      <family val="1"/>
      <charset val="2"/>
    </font>
    <font>
      <b/>
      <sz val="20"/>
      <color theme="2" tint="-0.749992370372631"/>
      <name val="Arial"/>
      <family val="2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sz val="10"/>
      <color rgb="FF00B0F0"/>
      <name val="Arial Narrow"/>
      <family val="2"/>
    </font>
    <font>
      <sz val="8"/>
      <color rgb="FF0070C0"/>
      <name val="Arial Narrow"/>
      <family val="2"/>
    </font>
    <font>
      <b/>
      <sz val="8"/>
      <color rgb="FF0070C0"/>
      <name val="Arial Narrow"/>
      <family val="2"/>
    </font>
    <font>
      <b/>
      <sz val="12"/>
      <color rgb="FF0070C0"/>
      <name val="Arial Narrow"/>
      <family val="2"/>
    </font>
    <font>
      <b/>
      <sz val="12"/>
      <color rgb="FF00B050"/>
      <name val="Arial Narrow"/>
      <family val="2"/>
    </font>
    <font>
      <sz val="8"/>
      <color rgb="FF00B050"/>
      <name val="Arial Narrow"/>
      <family val="2"/>
    </font>
    <font>
      <sz val="10"/>
      <color rgb="FF00B050"/>
      <name val="Arial Narrow"/>
      <family val="2"/>
    </font>
    <font>
      <b/>
      <sz val="8"/>
      <color rgb="FF00B050"/>
      <name val="Arial Narrow"/>
      <family val="2"/>
    </font>
    <font>
      <b/>
      <sz val="10"/>
      <color rgb="FF00B050"/>
      <name val="Arial Narrow"/>
      <family val="2"/>
    </font>
    <font>
      <sz val="11"/>
      <color rgb="FF00B050"/>
      <name val="Arial Narrow"/>
      <family val="2"/>
    </font>
    <font>
      <b/>
      <sz val="11"/>
      <color rgb="FF00B050"/>
      <name val="Arial Narrow"/>
      <family val="2"/>
    </font>
    <font>
      <i/>
      <sz val="8"/>
      <color rgb="FF00B050"/>
      <name val="Arial Narrow"/>
      <family val="2"/>
    </font>
    <font>
      <i/>
      <sz val="8"/>
      <color rgb="FF0070C0"/>
      <name val="Arial Narrow"/>
      <family val="2"/>
    </font>
    <font>
      <b/>
      <sz val="10"/>
      <name val="Symbol"/>
      <family val="1"/>
      <charset val="2"/>
    </font>
    <font>
      <sz val="8"/>
      <color theme="7" tint="-0.249977111117893"/>
      <name val="Arial Narrow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b/>
      <sz val="16"/>
      <color theme="2" tint="-0.749992370372631"/>
      <name val="Arial"/>
      <family val="2"/>
    </font>
    <font>
      <b/>
      <sz val="12"/>
      <color rgb="FF112277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11227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F0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AFBF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8E0000"/>
      </left>
      <right style="double">
        <color rgb="FF8E0000"/>
      </right>
      <top style="double">
        <color rgb="FF8E0000"/>
      </top>
      <bottom/>
      <diagonal/>
    </border>
    <border>
      <left style="double">
        <color rgb="FF8E0000"/>
      </left>
      <right style="double">
        <color rgb="FF8E0000"/>
      </right>
      <top/>
      <bottom style="double">
        <color rgb="FF8E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/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2" fillId="0" borderId="0" applyFont="0" applyFill="0" applyBorder="0" applyAlignment="0" applyProtection="0"/>
  </cellStyleXfs>
  <cellXfs count="184">
    <xf numFmtId="0" fontId="0" fillId="0" borderId="0" xfId="0"/>
    <xf numFmtId="0" fontId="3" fillId="2" borderId="0" xfId="1" applyFont="1" applyFill="1"/>
    <xf numFmtId="0" fontId="1" fillId="2" borderId="0" xfId="1" applyFill="1"/>
    <xf numFmtId="0" fontId="23" fillId="2" borderId="0" xfId="1" applyFont="1" applyFill="1"/>
    <xf numFmtId="0" fontId="2" fillId="2" borderId="0" xfId="1" applyFont="1" applyFill="1"/>
    <xf numFmtId="0" fontId="24" fillId="2" borderId="0" xfId="1" applyFont="1" applyFill="1" applyAlignment="1">
      <alignment horizontal="center"/>
    </xf>
    <xf numFmtId="10" fontId="3" fillId="2" borderId="6" xfId="1" applyNumberFormat="1" applyFont="1" applyFill="1" applyBorder="1"/>
    <xf numFmtId="3" fontId="3" fillId="2" borderId="8" xfId="1" applyNumberFormat="1" applyFont="1" applyFill="1" applyBorder="1"/>
    <xf numFmtId="10" fontId="3" fillId="2" borderId="1" xfId="1" applyNumberFormat="1" applyFont="1" applyFill="1" applyBorder="1"/>
    <xf numFmtId="3" fontId="3" fillId="2" borderId="2" xfId="1" applyNumberFormat="1" applyFont="1" applyFill="1" applyBorder="1"/>
    <xf numFmtId="10" fontId="3" fillId="2" borderId="3" xfId="1" applyNumberFormat="1" applyFont="1" applyFill="1" applyBorder="1"/>
    <xf numFmtId="3" fontId="3" fillId="2" borderId="5" xfId="1" applyNumberFormat="1" applyFont="1" applyFill="1" applyBorder="1"/>
    <xf numFmtId="0" fontId="3" fillId="0" borderId="0" xfId="2" applyFont="1"/>
    <xf numFmtId="0" fontId="5" fillId="0" borderId="0" xfId="2" applyFont="1"/>
    <xf numFmtId="0" fontId="3" fillId="0" borderId="0" xfId="2" applyFont="1" applyAlignment="1">
      <alignment horizontal="center" wrapText="1"/>
    </xf>
    <xf numFmtId="0" fontId="3" fillId="0" borderId="0" xfId="2" applyFont="1" applyAlignment="1">
      <alignment wrapText="1"/>
    </xf>
    <xf numFmtId="0" fontId="9" fillId="0" borderId="0" xfId="2" applyFont="1" applyAlignment="1">
      <alignment wrapText="1"/>
    </xf>
    <xf numFmtId="0" fontId="9" fillId="0" borderId="0" xfId="2" applyFont="1"/>
    <xf numFmtId="0" fontId="10" fillId="0" borderId="0" xfId="2" applyFont="1" applyAlignment="1">
      <alignment horizontal="right"/>
    </xf>
    <xf numFmtId="0" fontId="11" fillId="0" borderId="0" xfId="2" applyFont="1"/>
    <xf numFmtId="0" fontId="12" fillId="0" borderId="0" xfId="2" applyFont="1" applyAlignment="1">
      <alignment horizontal="right"/>
    </xf>
    <xf numFmtId="10" fontId="11" fillId="0" borderId="0" xfId="2" applyNumberFormat="1" applyFont="1" applyProtection="1">
      <protection locked="0"/>
    </xf>
    <xf numFmtId="0" fontId="3" fillId="0" borderId="0" xfId="2" applyFont="1" applyAlignment="1">
      <alignment horizontal="center"/>
    </xf>
    <xf numFmtId="164" fontId="13" fillId="0" borderId="6" xfId="2" applyNumberFormat="1" applyFont="1" applyBorder="1"/>
    <xf numFmtId="164" fontId="13" fillId="0" borderId="7" xfId="2" applyNumberFormat="1" applyFont="1" applyBorder="1"/>
    <xf numFmtId="164" fontId="13" fillId="0" borderId="8" xfId="2" applyNumberFormat="1" applyFont="1" applyBorder="1"/>
    <xf numFmtId="164" fontId="13" fillId="0" borderId="1" xfId="2" applyNumberFormat="1" applyFont="1" applyBorder="1"/>
    <xf numFmtId="164" fontId="13" fillId="0" borderId="0" xfId="2" applyNumberFormat="1" applyFont="1"/>
    <xf numFmtId="164" fontId="13" fillId="0" borderId="2" xfId="2" applyNumberFormat="1" applyFont="1" applyBorder="1"/>
    <xf numFmtId="164" fontId="3" fillId="0" borderId="1" xfId="2" applyNumberFormat="1" applyFont="1" applyBorder="1"/>
    <xf numFmtId="164" fontId="3" fillId="0" borderId="0" xfId="2" applyNumberFormat="1" applyFont="1"/>
    <xf numFmtId="164" fontId="3" fillId="0" borderId="2" xfId="2" applyNumberFormat="1" applyFont="1" applyBorder="1"/>
    <xf numFmtId="0" fontId="14" fillId="0" borderId="0" xfId="2" applyFont="1" applyAlignment="1">
      <alignment horizontal="left"/>
    </xf>
    <xf numFmtId="0" fontId="14" fillId="0" borderId="0" xfId="2" applyFont="1"/>
    <xf numFmtId="10" fontId="15" fillId="0" borderId="0" xfId="2" applyNumberFormat="1" applyFont="1" applyProtection="1">
      <protection locked="0"/>
    </xf>
    <xf numFmtId="0" fontId="7" fillId="0" borderId="0" xfId="2" applyFont="1" applyAlignment="1">
      <alignment wrapText="1"/>
    </xf>
    <xf numFmtId="165" fontId="3" fillId="0" borderId="6" xfId="2" applyNumberFormat="1" applyFont="1" applyBorder="1"/>
    <xf numFmtId="165" fontId="3" fillId="0" borderId="7" xfId="2" applyNumberFormat="1" applyFont="1" applyBorder="1"/>
    <xf numFmtId="165" fontId="3" fillId="0" borderId="8" xfId="2" applyNumberFormat="1" applyFont="1" applyBorder="1"/>
    <xf numFmtId="165" fontId="3" fillId="0" borderId="1" xfId="2" applyNumberFormat="1" applyFont="1" applyBorder="1"/>
    <xf numFmtId="165" fontId="3" fillId="0" borderId="0" xfId="2" applyNumberFormat="1" applyFont="1"/>
    <xf numFmtId="165" fontId="3" fillId="0" borderId="2" xfId="2" applyNumberFormat="1" applyFont="1" applyBorder="1"/>
    <xf numFmtId="165" fontId="3" fillId="0" borderId="3" xfId="2" applyNumberFormat="1" applyFont="1" applyBorder="1"/>
    <xf numFmtId="165" fontId="3" fillId="0" borderId="4" xfId="2" applyNumberFormat="1" applyFont="1" applyBorder="1"/>
    <xf numFmtId="165" fontId="3" fillId="0" borderId="5" xfId="2" applyNumberFormat="1" applyFont="1" applyBorder="1"/>
    <xf numFmtId="10" fontId="14" fillId="0" borderId="0" xfId="2" applyNumberFormat="1" applyFont="1" applyProtection="1">
      <protection locked="0"/>
    </xf>
    <xf numFmtId="0" fontId="3" fillId="0" borderId="0" xfId="2" applyFont="1" applyAlignment="1">
      <alignment horizontal="left"/>
    </xf>
    <xf numFmtId="0" fontId="8" fillId="0" borderId="0" xfId="2" applyFont="1"/>
    <xf numFmtId="0" fontId="7" fillId="0" borderId="0" xfId="2" applyFont="1" applyAlignment="1">
      <alignment horizontal="center" wrapText="1"/>
    </xf>
    <xf numFmtId="0" fontId="19" fillId="0" borderId="0" xfId="2" applyFont="1" applyAlignment="1">
      <alignment horizontal="center" wrapText="1"/>
    </xf>
    <xf numFmtId="164" fontId="20" fillId="0" borderId="3" xfId="2" applyNumberFormat="1" applyFont="1" applyBorder="1"/>
    <xf numFmtId="164" fontId="20" fillId="0" borderId="4" xfId="2" applyNumberFormat="1" applyFont="1" applyBorder="1"/>
    <xf numFmtId="164" fontId="20" fillId="0" borderId="5" xfId="2" applyNumberFormat="1" applyFont="1" applyBorder="1"/>
    <xf numFmtId="0" fontId="19" fillId="0" borderId="0" xfId="2" applyFont="1" applyAlignment="1">
      <alignment horizontal="right" wrapText="1"/>
    </xf>
    <xf numFmtId="10" fontId="3" fillId="0" borderId="0" xfId="2" applyNumberFormat="1" applyFont="1"/>
    <xf numFmtId="10" fontId="22" fillId="0" borderId="0" xfId="2" applyNumberFormat="1" applyFont="1"/>
    <xf numFmtId="3" fontId="3" fillId="0" borderId="0" xfId="2" applyNumberFormat="1" applyFont="1"/>
    <xf numFmtId="0" fontId="1" fillId="3" borderId="0" xfId="1" applyFill="1"/>
    <xf numFmtId="0" fontId="0" fillId="3" borderId="0" xfId="0" applyFill="1"/>
    <xf numFmtId="0" fontId="17" fillId="3" borderId="0" xfId="1" applyFont="1" applyFill="1" applyAlignment="1">
      <alignment horizontal="center" wrapText="1"/>
    </xf>
    <xf numFmtId="0" fontId="21" fillId="3" borderId="0" xfId="1" applyFont="1" applyFill="1" applyAlignment="1">
      <alignment horizontal="left"/>
    </xf>
    <xf numFmtId="0" fontId="16" fillId="3" borderId="0" xfId="1" applyFont="1" applyFill="1" applyAlignment="1">
      <alignment horizontal="right"/>
    </xf>
    <xf numFmtId="0" fontId="18" fillId="3" borderId="0" xfId="1" applyFont="1" applyFill="1"/>
    <xf numFmtId="0" fontId="16" fillId="3" borderId="0" xfId="1" applyFont="1" applyFill="1"/>
    <xf numFmtId="10" fontId="25" fillId="4" borderId="9" xfId="1" applyNumberFormat="1" applyFont="1" applyFill="1" applyBorder="1"/>
    <xf numFmtId="10" fontId="25" fillId="4" borderId="10" xfId="1" applyNumberFormat="1" applyFont="1" applyFill="1" applyBorder="1"/>
    <xf numFmtId="0" fontId="3" fillId="0" borderId="0" xfId="9" applyFont="1"/>
    <xf numFmtId="0" fontId="4" fillId="0" borderId="0" xfId="9" applyFont="1"/>
    <xf numFmtId="0" fontId="5" fillId="0" borderId="0" xfId="9" applyFont="1"/>
    <xf numFmtId="0" fontId="6" fillId="0" borderId="0" xfId="9" applyFont="1"/>
    <xf numFmtId="0" fontId="3" fillId="0" borderId="0" xfId="9" applyFont="1" applyAlignment="1">
      <alignment horizontal="center" wrapText="1"/>
    </xf>
    <xf numFmtId="0" fontId="3" fillId="0" borderId="0" xfId="9" applyFont="1" applyAlignment="1">
      <alignment wrapText="1"/>
    </xf>
    <xf numFmtId="0" fontId="10" fillId="0" borderId="0" xfId="9" applyFont="1" applyAlignment="1">
      <alignment horizontal="right"/>
    </xf>
    <xf numFmtId="0" fontId="3" fillId="0" borderId="0" xfId="9" applyFont="1" applyAlignment="1">
      <alignment horizontal="right"/>
    </xf>
    <xf numFmtId="0" fontId="7" fillId="0" borderId="0" xfId="9" applyFont="1" applyAlignment="1">
      <alignment horizontal="center" wrapText="1"/>
    </xf>
    <xf numFmtId="0" fontId="19" fillId="0" borderId="0" xfId="9" applyFont="1" applyAlignment="1">
      <alignment horizontal="center" wrapText="1"/>
    </xf>
    <xf numFmtId="0" fontId="18" fillId="3" borderId="0" xfId="1" applyFont="1" applyFill="1" applyAlignment="1">
      <alignment horizontal="center"/>
    </xf>
    <xf numFmtId="0" fontId="27" fillId="0" borderId="0" xfId="2" applyFont="1" applyAlignment="1">
      <alignment horizontal="left"/>
    </xf>
    <xf numFmtId="10" fontId="3" fillId="4" borderId="6" xfId="1" applyNumberFormat="1" applyFont="1" applyFill="1" applyBorder="1"/>
    <xf numFmtId="3" fontId="3" fillId="4" borderId="8" xfId="1" applyNumberFormat="1" applyFont="1" applyFill="1" applyBorder="1"/>
    <xf numFmtId="10" fontId="3" fillId="4" borderId="1" xfId="1" applyNumberFormat="1" applyFont="1" applyFill="1" applyBorder="1"/>
    <xf numFmtId="3" fontId="3" fillId="4" borderId="2" xfId="1" applyNumberFormat="1" applyFont="1" applyFill="1" applyBorder="1"/>
    <xf numFmtId="10" fontId="3" fillId="4" borderId="3" xfId="1" applyNumberFormat="1" applyFont="1" applyFill="1" applyBorder="1"/>
    <xf numFmtId="3" fontId="3" fillId="4" borderId="5" xfId="1" applyNumberFormat="1" applyFont="1" applyFill="1" applyBorder="1"/>
    <xf numFmtId="0" fontId="26" fillId="3" borderId="0" xfId="1" applyFont="1" applyFill="1" applyAlignment="1">
      <alignment horizontal="center"/>
    </xf>
    <xf numFmtId="10" fontId="3" fillId="5" borderId="6" xfId="1" applyNumberFormat="1" applyFont="1" applyFill="1" applyBorder="1"/>
    <xf numFmtId="3" fontId="3" fillId="5" borderId="8" xfId="1" applyNumberFormat="1" applyFont="1" applyFill="1" applyBorder="1"/>
    <xf numFmtId="10" fontId="3" fillId="5" borderId="1" xfId="1" applyNumberFormat="1" applyFont="1" applyFill="1" applyBorder="1"/>
    <xf numFmtId="3" fontId="3" fillId="5" borderId="2" xfId="1" applyNumberFormat="1" applyFont="1" applyFill="1" applyBorder="1"/>
    <xf numFmtId="10" fontId="3" fillId="5" borderId="3" xfId="1" applyNumberFormat="1" applyFont="1" applyFill="1" applyBorder="1"/>
    <xf numFmtId="3" fontId="3" fillId="5" borderId="5" xfId="1" applyNumberFormat="1" applyFont="1" applyFill="1" applyBorder="1"/>
    <xf numFmtId="0" fontId="23" fillId="0" borderId="0" xfId="9" applyFont="1"/>
    <xf numFmtId="0" fontId="23" fillId="0" borderId="0" xfId="2" applyFont="1"/>
    <xf numFmtId="0" fontId="30" fillId="0" borderId="0" xfId="0" applyFont="1"/>
    <xf numFmtId="0" fontId="31" fillId="0" borderId="0" xfId="0" applyFont="1"/>
    <xf numFmtId="0" fontId="2" fillId="3" borderId="0" xfId="1" applyFont="1" applyFill="1"/>
    <xf numFmtId="164" fontId="23" fillId="0" borderId="0" xfId="2" applyNumberFormat="1" applyFont="1"/>
    <xf numFmtId="0" fontId="32" fillId="0" borderId="0" xfId="9" applyFont="1"/>
    <xf numFmtId="0" fontId="34" fillId="0" borderId="0" xfId="9" applyFont="1" applyAlignment="1">
      <alignment horizontal="center" wrapText="1"/>
    </xf>
    <xf numFmtId="0" fontId="35" fillId="0" borderId="0" xfId="9" applyFont="1"/>
    <xf numFmtId="0" fontId="36" fillId="0" borderId="0" xfId="9" applyFont="1" applyAlignment="1">
      <alignment horizontal="left"/>
    </xf>
    <xf numFmtId="0" fontId="39" fillId="0" borderId="0" xfId="2" applyFont="1"/>
    <xf numFmtId="0" fontId="40" fillId="0" borderId="0" xfId="9" applyFont="1"/>
    <xf numFmtId="0" fontId="37" fillId="0" borderId="0" xfId="9" applyFont="1"/>
    <xf numFmtId="0" fontId="36" fillId="0" borderId="0" xfId="2" applyFont="1" applyAlignment="1">
      <alignment horizontal="left"/>
    </xf>
    <xf numFmtId="0" fontId="36" fillId="0" borderId="0" xfId="0" applyFont="1"/>
    <xf numFmtId="0" fontId="38" fillId="0" borderId="0" xfId="2" applyFont="1"/>
    <xf numFmtId="0" fontId="40" fillId="0" borderId="0" xfId="2" applyFont="1"/>
    <xf numFmtId="0" fontId="41" fillId="0" borderId="0" xfId="0" applyFont="1"/>
    <xf numFmtId="0" fontId="42" fillId="0" borderId="0" xfId="0" applyFont="1"/>
    <xf numFmtId="0" fontId="43" fillId="0" borderId="0" xfId="2" applyFont="1" applyAlignment="1">
      <alignment horizontal="right"/>
    </xf>
    <xf numFmtId="166" fontId="37" fillId="0" borderId="0" xfId="2" applyNumberFormat="1" applyFont="1"/>
    <xf numFmtId="0" fontId="37" fillId="0" borderId="0" xfId="2" applyFont="1" applyAlignment="1">
      <alignment wrapText="1"/>
    </xf>
    <xf numFmtId="0" fontId="33" fillId="0" borderId="0" xfId="9" applyFont="1"/>
    <xf numFmtId="0" fontId="33" fillId="0" borderId="0" xfId="2" applyFont="1" applyAlignment="1">
      <alignment wrapText="1"/>
    </xf>
    <xf numFmtId="0" fontId="35" fillId="0" borderId="0" xfId="2" applyFont="1"/>
    <xf numFmtId="0" fontId="34" fillId="0" borderId="0" xfId="2" applyFont="1" applyAlignment="1">
      <alignment horizontal="center" wrapText="1"/>
    </xf>
    <xf numFmtId="0" fontId="44" fillId="0" borderId="0" xfId="2" applyFont="1" applyAlignment="1">
      <alignment horizontal="right" wrapText="1"/>
    </xf>
    <xf numFmtId="3" fontId="3" fillId="0" borderId="6" xfId="2" applyNumberFormat="1" applyFont="1" applyBorder="1"/>
    <xf numFmtId="166" fontId="3" fillId="0" borderId="8" xfId="2" applyNumberFormat="1" applyFont="1" applyBorder="1"/>
    <xf numFmtId="3" fontId="3" fillId="0" borderId="1" xfId="2" applyNumberFormat="1" applyFont="1" applyBorder="1"/>
    <xf numFmtId="166" fontId="3" fillId="0" borderId="2" xfId="2" applyNumberFormat="1" applyFont="1" applyBorder="1"/>
    <xf numFmtId="3" fontId="3" fillId="0" borderId="3" xfId="2" applyNumberFormat="1" applyFont="1" applyBorder="1"/>
    <xf numFmtId="166" fontId="3" fillId="0" borderId="5" xfId="2" applyNumberFormat="1" applyFont="1" applyBorder="1"/>
    <xf numFmtId="0" fontId="23" fillId="0" borderId="0" xfId="2" applyFont="1" applyAlignment="1">
      <alignment horizontal="center" wrapText="1"/>
    </xf>
    <xf numFmtId="0" fontId="23" fillId="0" borderId="4" xfId="2" applyFont="1" applyBorder="1" applyAlignment="1">
      <alignment wrapText="1"/>
    </xf>
    <xf numFmtId="167" fontId="23" fillId="0" borderId="0" xfId="2" applyNumberFormat="1" applyFont="1" applyAlignment="1">
      <alignment wrapText="1"/>
    </xf>
    <xf numFmtId="0" fontId="23" fillId="0" borderId="6" xfId="2" applyFont="1" applyBorder="1"/>
    <xf numFmtId="0" fontId="23" fillId="0" borderId="7" xfId="2" applyFont="1" applyBorder="1" applyAlignment="1">
      <alignment wrapText="1"/>
    </xf>
    <xf numFmtId="167" fontId="23" fillId="0" borderId="8" xfId="2" applyNumberFormat="1" applyFont="1" applyBorder="1" applyAlignment="1">
      <alignment wrapText="1"/>
    </xf>
    <xf numFmtId="0" fontId="23" fillId="0" borderId="1" xfId="2" applyFont="1" applyBorder="1"/>
    <xf numFmtId="0" fontId="23" fillId="0" borderId="0" xfId="2" applyFont="1" applyAlignment="1">
      <alignment wrapText="1"/>
    </xf>
    <xf numFmtId="167" fontId="23" fillId="0" borderId="2" xfId="2" applyNumberFormat="1" applyFont="1" applyBorder="1" applyAlignment="1">
      <alignment wrapText="1"/>
    </xf>
    <xf numFmtId="0" fontId="23" fillId="0" borderId="3" xfId="2" applyFont="1" applyBorder="1"/>
    <xf numFmtId="167" fontId="23" fillId="0" borderId="5" xfId="2" applyNumberFormat="1" applyFont="1" applyBorder="1" applyAlignment="1">
      <alignment wrapText="1"/>
    </xf>
    <xf numFmtId="0" fontId="45" fillId="0" borderId="0" xfId="2" applyFont="1" applyAlignment="1">
      <alignment horizontal="center"/>
    </xf>
    <xf numFmtId="1" fontId="23" fillId="0" borderId="7" xfId="2" applyNumberFormat="1" applyFont="1" applyBorder="1" applyAlignment="1">
      <alignment wrapText="1"/>
    </xf>
    <xf numFmtId="1" fontId="23" fillId="0" borderId="0" xfId="2" applyNumberFormat="1" applyFont="1" applyAlignment="1">
      <alignment wrapText="1"/>
    </xf>
    <xf numFmtId="1" fontId="23" fillId="0" borderId="4" xfId="2" applyNumberFormat="1" applyFont="1" applyBorder="1" applyAlignment="1">
      <alignment wrapText="1"/>
    </xf>
    <xf numFmtId="1" fontId="23" fillId="0" borderId="0" xfId="2" applyNumberFormat="1" applyFont="1"/>
    <xf numFmtId="166" fontId="46" fillId="0" borderId="0" xfId="2" applyNumberFormat="1" applyFont="1"/>
    <xf numFmtId="166" fontId="3" fillId="0" borderId="0" xfId="2" applyNumberFormat="1" applyFont="1"/>
    <xf numFmtId="3" fontId="3" fillId="0" borderId="11" xfId="2" applyNumberFormat="1" applyFont="1" applyBorder="1"/>
    <xf numFmtId="3" fontId="3" fillId="0" borderId="12" xfId="2" applyNumberFormat="1" applyFont="1" applyBorder="1"/>
    <xf numFmtId="3" fontId="3" fillId="0" borderId="13" xfId="2" applyNumberFormat="1" applyFont="1" applyBorder="1"/>
    <xf numFmtId="0" fontId="23" fillId="0" borderId="7" xfId="2" applyFont="1" applyBorder="1"/>
    <xf numFmtId="0" fontId="23" fillId="0" borderId="4" xfId="2" applyFont="1" applyBorder="1"/>
    <xf numFmtId="167" fontId="30" fillId="0" borderId="0" xfId="0" applyNumberFormat="1" applyFont="1"/>
    <xf numFmtId="0" fontId="23" fillId="0" borderId="0" xfId="2" applyFont="1" applyAlignment="1">
      <alignment horizontal="center"/>
    </xf>
    <xf numFmtId="0" fontId="23" fillId="0" borderId="0" xfId="0" applyFont="1"/>
    <xf numFmtId="0" fontId="3" fillId="0" borderId="6" xfId="9" applyFont="1" applyBorder="1"/>
    <xf numFmtId="0" fontId="3" fillId="0" borderId="7" xfId="9" applyFont="1" applyBorder="1"/>
    <xf numFmtId="0" fontId="3" fillId="0" borderId="8" xfId="9" applyFont="1" applyBorder="1"/>
    <xf numFmtId="0" fontId="3" fillId="0" borderId="1" xfId="9" applyFont="1" applyBorder="1"/>
    <xf numFmtId="0" fontId="3" fillId="0" borderId="2" xfId="9" applyFont="1" applyBorder="1"/>
    <xf numFmtId="0" fontId="3" fillId="0" borderId="3" xfId="9" applyFont="1" applyBorder="1"/>
    <xf numFmtId="0" fontId="3" fillId="0" borderId="4" xfId="9" applyFont="1" applyBorder="1"/>
    <xf numFmtId="0" fontId="3" fillId="0" borderId="5" xfId="9" applyFont="1" applyBorder="1"/>
    <xf numFmtId="166" fontId="3" fillId="0" borderId="0" xfId="2" applyNumberFormat="1" applyFont="1" applyAlignment="1">
      <alignment wrapText="1"/>
    </xf>
    <xf numFmtId="167" fontId="3" fillId="0" borderId="0" xfId="2" applyNumberFormat="1" applyFont="1" applyAlignment="1">
      <alignment wrapText="1"/>
    </xf>
    <xf numFmtId="0" fontId="33" fillId="0" borderId="0" xfId="9" applyFont="1" applyAlignment="1">
      <alignment wrapText="1"/>
    </xf>
    <xf numFmtId="0" fontId="8" fillId="0" borderId="0" xfId="9" applyFont="1"/>
    <xf numFmtId="0" fontId="3" fillId="0" borderId="0" xfId="11" applyFont="1"/>
    <xf numFmtId="0" fontId="38" fillId="0" borderId="0" xfId="9" applyFont="1"/>
    <xf numFmtId="0" fontId="43" fillId="0" borderId="0" xfId="9" applyFont="1" applyAlignment="1">
      <alignment horizontal="right"/>
    </xf>
    <xf numFmtId="166" fontId="37" fillId="0" borderId="0" xfId="9" applyNumberFormat="1" applyFont="1"/>
    <xf numFmtId="1" fontId="3" fillId="0" borderId="0" xfId="2" applyNumberFormat="1" applyFont="1"/>
    <xf numFmtId="0" fontId="48" fillId="0" borderId="6" xfId="0" applyFont="1" applyBorder="1" applyAlignment="1">
      <alignment vertical="top" wrapText="1"/>
    </xf>
    <xf numFmtId="0" fontId="30" fillId="0" borderId="17" xfId="0" applyFont="1" applyBorder="1"/>
    <xf numFmtId="166" fontId="30" fillId="0" borderId="17" xfId="14" applyNumberFormat="1" applyFont="1" applyBorder="1"/>
    <xf numFmtId="0" fontId="50" fillId="0" borderId="0" xfId="0" applyFont="1" applyAlignment="1">
      <alignment horizontal="left" vertical="center"/>
    </xf>
    <xf numFmtId="0" fontId="53" fillId="6" borderId="0" xfId="0" applyFont="1" applyFill="1" applyAlignment="1">
      <alignment horizontal="left" vertical="top" wrapText="1"/>
    </xf>
    <xf numFmtId="0" fontId="48" fillId="6" borderId="0" xfId="0" applyFont="1" applyFill="1" applyAlignment="1">
      <alignment horizontal="left" vertical="top" wrapText="1"/>
    </xf>
    <xf numFmtId="0" fontId="50" fillId="6" borderId="0" xfId="0" applyFont="1" applyFill="1" applyAlignment="1">
      <alignment horizontal="left"/>
    </xf>
    <xf numFmtId="0" fontId="51" fillId="6" borderId="0" xfId="0" applyFont="1" applyFill="1"/>
    <xf numFmtId="0" fontId="47" fillId="6" borderId="15" xfId="0" applyFont="1" applyFill="1" applyBorder="1" applyAlignment="1">
      <alignment horizontal="left" vertical="top" wrapText="1"/>
    </xf>
    <xf numFmtId="0" fontId="47" fillId="6" borderId="16" xfId="0" applyFont="1" applyFill="1" applyBorder="1" applyAlignment="1">
      <alignment horizontal="left" vertical="top" wrapText="1"/>
    </xf>
    <xf numFmtId="0" fontId="47" fillId="6" borderId="0" xfId="0" applyFont="1" applyFill="1" applyAlignment="1">
      <alignment horizontal="left" vertical="top" wrapText="1"/>
    </xf>
    <xf numFmtId="0" fontId="29" fillId="3" borderId="0" xfId="1" applyFont="1" applyFill="1" applyAlignment="1">
      <alignment horizontal="center" wrapText="1"/>
    </xf>
    <xf numFmtId="0" fontId="49" fillId="3" borderId="0" xfId="1" applyFont="1" applyFill="1" applyAlignment="1">
      <alignment horizontal="center" wrapText="1"/>
    </xf>
    <xf numFmtId="0" fontId="26" fillId="3" borderId="0" xfId="1" applyFont="1" applyFill="1" applyAlignment="1">
      <alignment horizontal="center"/>
    </xf>
    <xf numFmtId="0" fontId="3" fillId="0" borderId="0" xfId="9" applyFont="1" applyAlignment="1">
      <alignment horizontal="right"/>
    </xf>
    <xf numFmtId="0" fontId="47" fillId="6" borderId="14" xfId="0" applyFont="1" applyFill="1" applyBorder="1" applyAlignment="1">
      <alignment horizontal="left" vertical="top" wrapText="1"/>
    </xf>
    <xf numFmtId="0" fontId="47" fillId="6" borderId="16" xfId="0" applyFont="1" applyFill="1" applyBorder="1" applyAlignment="1">
      <alignment horizontal="left" vertical="top" wrapText="1"/>
    </xf>
  </cellXfs>
  <cellStyles count="15">
    <cellStyle name="Normal" xfId="0" builtinId="0"/>
    <cellStyle name="Normal 10" xfId="9" xr:uid="{00000000-0005-0000-0000-000001000000}"/>
    <cellStyle name="Normal 11" xfId="11" xr:uid="{00000000-0005-0000-0000-000002000000}"/>
    <cellStyle name="Normal 2" xfId="1" xr:uid="{00000000-0005-0000-0000-000003000000}"/>
    <cellStyle name="Normal 2 2" xfId="3" xr:uid="{00000000-0005-0000-0000-000004000000}"/>
    <cellStyle name="Normal 3" xfId="2" xr:uid="{00000000-0005-0000-0000-000005000000}"/>
    <cellStyle name="Normal 3 2" xfId="4" xr:uid="{00000000-0005-0000-0000-000006000000}"/>
    <cellStyle name="Normal 3 3" xfId="5" xr:uid="{00000000-0005-0000-0000-000007000000}"/>
    <cellStyle name="Normal 3 4" xfId="6" xr:uid="{00000000-0005-0000-0000-000008000000}"/>
    <cellStyle name="Normal 3 5" xfId="7" xr:uid="{00000000-0005-0000-0000-000009000000}"/>
    <cellStyle name="Normal 3 6" xfId="8" xr:uid="{00000000-0005-0000-0000-00000A000000}"/>
    <cellStyle name="Normal 3 7" xfId="10" xr:uid="{00000000-0005-0000-0000-00000B000000}"/>
    <cellStyle name="Normal 3 8" xfId="12" xr:uid="{00000000-0005-0000-0000-00000C000000}"/>
    <cellStyle name="Normal 3 9" xfId="13" xr:uid="{00000000-0005-0000-0000-00000D000000}"/>
    <cellStyle name="Percent" xfId="14" builtinId="5"/>
  </cellStyles>
  <dxfs count="0"/>
  <tableStyles count="0" defaultTableStyle="TableStyleMedium9" defaultPivotStyle="PivotStyleLight16"/>
  <colors>
    <mruColors>
      <color rgb="FFFDF88D"/>
      <color rgb="FFFA987A"/>
      <color rgb="FFF6F67C"/>
      <color rgb="FFA3C167"/>
      <color rgb="FF8E0000"/>
      <color rgb="FFD9F0FF"/>
      <color rgb="FFD9F8FF"/>
      <color rgb="FFECF2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The University of Memphis</a:t>
            </a:r>
          </a:p>
          <a:p>
            <a:pPr>
              <a:defRPr sz="1100"/>
            </a:pPr>
            <a:r>
              <a:rPr lang="en-US" sz="1100"/>
              <a:t>Projected Enrollment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Sheet1!$D$154</c:f>
              <c:strCache>
                <c:ptCount val="1"/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7B58-48F7-8D1E-FB6653579B41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7B58-48F7-8D1E-FB6653579B41}"/>
              </c:ext>
            </c:extLst>
          </c:dPt>
          <c:dLbls>
            <c:spPr>
              <a:solidFill>
                <a:srgbClr val="ECF2FA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Sheet1!$C$155:$C$161</c:f>
              <c:numCache>
                <c:formatCode>General</c:formatCode>
                <c:ptCount val="7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</c:numCache>
            </c:numRef>
          </c:cat>
          <c:val>
            <c:numRef>
              <c:f>Sheet1!$D$155:$D$161</c:f>
              <c:numCache>
                <c:formatCode>#,##0</c:formatCode>
                <c:ptCount val="7"/>
                <c:pt idx="0">
                  <c:v>21917</c:v>
                </c:pt>
                <c:pt idx="1">
                  <c:v>21736</c:v>
                </c:pt>
                <c:pt idx="2">
                  <c:v>21206.106988352807</c:v>
                </c:pt>
                <c:pt idx="3">
                  <c:v>20893.774915398179</c:v>
                </c:pt>
                <c:pt idx="4">
                  <c:v>20764.81134861258</c:v>
                </c:pt>
                <c:pt idx="5">
                  <c:v>20711.406746558056</c:v>
                </c:pt>
                <c:pt idx="6">
                  <c:v>20688.022047286489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58-48F7-8D1E-FB6653579B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1284472"/>
        <c:axId val="431284864"/>
      </c:barChart>
      <c:catAx>
        <c:axId val="431284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1284864"/>
        <c:crosses val="autoZero"/>
        <c:auto val="1"/>
        <c:lblAlgn val="ctr"/>
        <c:lblOffset val="100"/>
        <c:noMultiLvlLbl val="0"/>
      </c:catAx>
      <c:valAx>
        <c:axId val="431284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Students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4312844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 alignWithMargins="0"/>
    <c:pageMargins b="1" l="0.75000000000000389" r="0.75000000000000389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The University of Memphis</a:t>
            </a:r>
          </a:p>
          <a:p>
            <a:pPr>
              <a:defRPr sz="1100"/>
            </a:pPr>
            <a:r>
              <a:rPr lang="en-US" sz="1100"/>
              <a:t>Projected Enrollment</a:t>
            </a:r>
          </a:p>
          <a:p>
            <a:pPr>
              <a:defRPr sz="1100"/>
            </a:pPr>
            <a:r>
              <a:rPr lang="en-US" sz="1100"/>
              <a:t>Graduate Program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Sheet1!$D$154</c:f>
              <c:strCache>
                <c:ptCount val="1"/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702-4486-8E6A-B2281A4E1F8F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702-4486-8E6A-B2281A4E1F8F}"/>
              </c:ext>
            </c:extLst>
          </c:dPt>
          <c:dLbls>
            <c:spPr>
              <a:solidFill>
                <a:srgbClr val="ECF2FA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Sheet1!$C$173:$C$178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Sheet1!$D$173:$D$178</c:f>
              <c:numCache>
                <c:formatCode>#,##0</c:formatCode>
                <c:ptCount val="6"/>
                <c:pt idx="0">
                  <c:v>4892</c:v>
                </c:pt>
                <c:pt idx="1">
                  <c:v>4682</c:v>
                </c:pt>
                <c:pt idx="2">
                  <c:v>4512.122960647047</c:v>
                </c:pt>
                <c:pt idx="3">
                  <c:v>4413.0639918023207</c:v>
                </c:pt>
                <c:pt idx="4">
                  <c:v>4351.9610456001519</c:v>
                </c:pt>
                <c:pt idx="5">
                  <c:v>4314.9938997527261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02-4486-8E6A-B2281A4E1F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5664912"/>
        <c:axId val="235665304"/>
      </c:barChart>
      <c:catAx>
        <c:axId val="23566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5665304"/>
        <c:crosses val="autoZero"/>
        <c:auto val="1"/>
        <c:lblAlgn val="ctr"/>
        <c:lblOffset val="100"/>
        <c:noMultiLvlLbl val="0"/>
      </c:catAx>
      <c:valAx>
        <c:axId val="2356653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Students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56649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Status of Fall 2019 Enrollees</a:t>
            </a:r>
          </a:p>
          <a:p>
            <a:pPr>
              <a:defRPr/>
            </a:pPr>
            <a:r>
              <a:rPr lang="en-US" baseline="0"/>
              <a:t>in the Fall of 2020 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A827-4867-A644-85E130DB9F3F}"/>
              </c:ext>
            </c:extLst>
          </c:dPt>
          <c:dPt>
            <c:idx val="2"/>
            <c:bubble3D val="0"/>
            <c:explosion val="1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A827-4867-A644-85E130DB9F3F}"/>
              </c:ext>
            </c:extLst>
          </c:dPt>
          <c:dPt>
            <c:idx val="3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A827-4867-A644-85E130DB9F3F}"/>
              </c:ext>
            </c:extLst>
          </c:dPt>
          <c:dPt>
            <c:idx val="4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A827-4867-A644-85E130DB9F3F}"/>
              </c:ext>
            </c:extLst>
          </c:dPt>
          <c:dPt>
            <c:idx val="6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A827-4867-A644-85E130DB9F3F}"/>
              </c:ext>
            </c:extLst>
          </c:dPt>
          <c:dPt>
            <c:idx val="7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A827-4867-A644-85E130DB9F3F}"/>
              </c:ext>
            </c:extLst>
          </c:dPt>
          <c:dPt>
            <c:idx val="8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A827-4867-A644-85E130DB9F3F}"/>
              </c:ext>
            </c:extLst>
          </c:dPt>
          <c:dPt>
            <c:idx val="9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F-A827-4867-A644-85E130DB9F3F}"/>
              </c:ext>
            </c:extLst>
          </c:dPt>
          <c:dPt>
            <c:idx val="10"/>
            <c:bubble3D val="0"/>
            <c:spPr>
              <a:solidFill>
                <a:schemeClr val="bg1"/>
              </a:solidFill>
              <a:ln>
                <a:solidFill>
                  <a:schemeClr val="bg1">
                    <a:lumMod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827-4867-A644-85E130DB9F3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Sheet2!$B$6:$B$16</c:f>
              <c:strCache>
                <c:ptCount val="11"/>
                <c:pt idx="0">
                  <c:v>FT Freshmen  </c:v>
                </c:pt>
                <c:pt idx="1">
                  <c:v>Con. Freshmen     </c:v>
                </c:pt>
                <c:pt idx="2">
                  <c:v>Sophomore     </c:v>
                </c:pt>
                <c:pt idx="3">
                  <c:v>Junior       </c:v>
                </c:pt>
                <c:pt idx="4">
                  <c:v>Senior       </c:v>
                </c:pt>
                <c:pt idx="5">
                  <c:v>Ungrd Spec   </c:v>
                </c:pt>
                <c:pt idx="6">
                  <c:v>Masters      </c:v>
                </c:pt>
                <c:pt idx="7">
                  <c:v>Doctoral</c:v>
                </c:pt>
                <c:pt idx="8">
                  <c:v>Law</c:v>
                </c:pt>
                <c:pt idx="9">
                  <c:v>Degree Granted     </c:v>
                </c:pt>
                <c:pt idx="10">
                  <c:v>Dropout      </c:v>
                </c:pt>
              </c:strCache>
            </c:strRef>
          </c:cat>
          <c:val>
            <c:numRef>
              <c:f>Sheet2!$O$6:$O$16</c:f>
              <c:numCache>
                <c:formatCode>General</c:formatCode>
                <c:ptCount val="11"/>
                <c:pt idx="0">
                  <c:v>351</c:v>
                </c:pt>
                <c:pt idx="1">
                  <c:v>636</c:v>
                </c:pt>
                <c:pt idx="2">
                  <c:v>2034</c:v>
                </c:pt>
                <c:pt idx="3">
                  <c:v>2279</c:v>
                </c:pt>
                <c:pt idx="4">
                  <c:v>3502</c:v>
                </c:pt>
                <c:pt idx="5">
                  <c:v>559</c:v>
                </c:pt>
                <c:pt idx="6">
                  <c:v>2056</c:v>
                </c:pt>
                <c:pt idx="7">
                  <c:v>884</c:v>
                </c:pt>
                <c:pt idx="8">
                  <c:v>209</c:v>
                </c:pt>
                <c:pt idx="9">
                  <c:v>4031</c:v>
                </c:pt>
                <c:pt idx="10">
                  <c:v>5376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827-4867-A644-85E130DB9F3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The University of Memphis</a:t>
            </a:r>
          </a:p>
          <a:p>
            <a:pPr>
              <a:defRPr sz="1100"/>
            </a:pPr>
            <a:r>
              <a:rPr lang="en-US" sz="1100"/>
              <a:t>Projected Enrollment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Sheet1!$D$154</c:f>
              <c:strCache>
                <c:ptCount val="1"/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BB24-4289-81B1-61B528E1E961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B24-4289-81B1-61B528E1E961}"/>
              </c:ext>
            </c:extLst>
          </c:dPt>
          <c:dLbls>
            <c:spPr>
              <a:solidFill>
                <a:srgbClr val="ECF2FA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Sheet1!$C$155:$C$161</c:f>
              <c:numCache>
                <c:formatCode>General</c:formatCode>
                <c:ptCount val="7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</c:numCache>
            </c:numRef>
          </c:cat>
          <c:val>
            <c:numRef>
              <c:f>Sheet1!$D$155:$D$161</c:f>
              <c:numCache>
                <c:formatCode>#,##0</c:formatCode>
                <c:ptCount val="7"/>
                <c:pt idx="0">
                  <c:v>21917</c:v>
                </c:pt>
                <c:pt idx="1">
                  <c:v>21736</c:v>
                </c:pt>
                <c:pt idx="2">
                  <c:v>21206.106988352807</c:v>
                </c:pt>
                <c:pt idx="3">
                  <c:v>20893.774915398179</c:v>
                </c:pt>
                <c:pt idx="4">
                  <c:v>20764.81134861258</c:v>
                </c:pt>
                <c:pt idx="5">
                  <c:v>20711.406746558056</c:v>
                </c:pt>
                <c:pt idx="6">
                  <c:v>20688.022047286489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24-4289-81B1-61B528E1E9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15337744"/>
        <c:axId val="415338136"/>
      </c:barChart>
      <c:catAx>
        <c:axId val="41533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5338136"/>
        <c:crosses val="autoZero"/>
        <c:auto val="1"/>
        <c:lblAlgn val="ctr"/>
        <c:lblOffset val="100"/>
        <c:noMultiLvlLbl val="0"/>
      </c:catAx>
      <c:valAx>
        <c:axId val="415338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Students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4153377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 alignWithMargins="0"/>
    <c:pageMargins b="1" l="0.75000000000000366" r="0.75000000000000366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The University of Memphis</a:t>
            </a:r>
          </a:p>
          <a:p>
            <a:pPr>
              <a:defRPr sz="1100"/>
            </a:pPr>
            <a:r>
              <a:rPr lang="en-US" sz="1100"/>
              <a:t>Projected Enrollment</a:t>
            </a:r>
          </a:p>
          <a:p>
            <a:pPr>
              <a:defRPr sz="1100"/>
            </a:pPr>
            <a:r>
              <a:rPr lang="en-US" sz="1100"/>
              <a:t>Graduate Program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Sheet1!$D$154</c:f>
              <c:strCache>
                <c:ptCount val="1"/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70AF-4651-89BA-0EE68B4938D3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70AF-4651-89BA-0EE68B4938D3}"/>
              </c:ext>
            </c:extLst>
          </c:dPt>
          <c:dLbls>
            <c:spPr>
              <a:solidFill>
                <a:srgbClr val="ECF2FA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Sheet1!$C$173:$C$178</c:f>
              <c:numCache>
                <c:formatCode>General</c:formatCode>
                <c:ptCount val="6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</c:numCache>
            </c:numRef>
          </c:cat>
          <c:val>
            <c:numRef>
              <c:f>Sheet1!$D$173:$D$178</c:f>
              <c:numCache>
                <c:formatCode>#,##0</c:formatCode>
                <c:ptCount val="6"/>
                <c:pt idx="0">
                  <c:v>4892</c:v>
                </c:pt>
                <c:pt idx="1">
                  <c:v>4682</c:v>
                </c:pt>
                <c:pt idx="2">
                  <c:v>4512.122960647047</c:v>
                </c:pt>
                <c:pt idx="3">
                  <c:v>4413.0639918023207</c:v>
                </c:pt>
                <c:pt idx="4">
                  <c:v>4351.9610456001519</c:v>
                </c:pt>
                <c:pt idx="5">
                  <c:v>4314.9938997527261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AF-4651-89BA-0EE68B4938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15337352"/>
        <c:axId val="415336960"/>
      </c:barChart>
      <c:catAx>
        <c:axId val="415337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5336960"/>
        <c:crosses val="autoZero"/>
        <c:auto val="1"/>
        <c:lblAlgn val="ctr"/>
        <c:lblOffset val="100"/>
        <c:noMultiLvlLbl val="0"/>
      </c:catAx>
      <c:valAx>
        <c:axId val="4153369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Students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4153373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 alignWithMargins="0"/>
    <c:pageMargins b="1" l="0.75000000000000366" r="0.7500000000000036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190500</xdr:colOff>
      <xdr:row>3</xdr:row>
      <xdr:rowOff>0</xdr:rowOff>
    </xdr:from>
    <xdr:to>
      <xdr:col>19</xdr:col>
      <xdr:colOff>533399</xdr:colOff>
      <xdr:row>13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161925</xdr:colOff>
      <xdr:row>14</xdr:row>
      <xdr:rowOff>114300</xdr:rowOff>
    </xdr:from>
    <xdr:to>
      <xdr:col>18</xdr:col>
      <xdr:colOff>533401</xdr:colOff>
      <xdr:row>29</xdr:row>
      <xdr:rowOff>152399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190500</xdr:colOff>
      <xdr:row>2</xdr:row>
      <xdr:rowOff>80961</xdr:rowOff>
    </xdr:from>
    <xdr:to>
      <xdr:col>23</xdr:col>
      <xdr:colOff>114300</xdr:colOff>
      <xdr:row>24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380999</xdr:colOff>
      <xdr:row>151</xdr:row>
      <xdr:rowOff>133350</xdr:rowOff>
    </xdr:from>
    <xdr:to>
      <xdr:col>18</xdr:col>
      <xdr:colOff>257174</xdr:colOff>
      <xdr:row>168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352425</xdr:colOff>
      <xdr:row>170</xdr:row>
      <xdr:rowOff>57150</xdr:rowOff>
    </xdr:from>
    <xdr:to>
      <xdr:col>18</xdr:col>
      <xdr:colOff>228600</xdr:colOff>
      <xdr:row>182</xdr:row>
      <xdr:rowOff>161925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49"/>
  <sheetViews>
    <sheetView tabSelected="1" workbookViewId="0">
      <selection activeCell="G25" sqref="G25"/>
    </sheetView>
  </sheetViews>
  <sheetFormatPr defaultRowHeight="15" x14ac:dyDescent="0.25"/>
  <cols>
    <col min="1" max="1" width="1.42578125" style="58" customWidth="1"/>
    <col min="2" max="2" width="8" style="58" customWidth="1"/>
    <col min="3" max="3" width="4" style="58" customWidth="1"/>
    <col min="4" max="4" width="3.5703125" style="58" customWidth="1"/>
    <col min="5" max="5" width="1.28515625" style="58" customWidth="1"/>
    <col min="6" max="7" width="7.5703125" style="58" customWidth="1"/>
    <col min="8" max="8" width="1.42578125" style="58" customWidth="1"/>
    <col min="9" max="10" width="7.5703125" style="58" customWidth="1"/>
    <col min="11" max="11" width="1.7109375" style="58" customWidth="1"/>
    <col min="12" max="13" width="7.5703125" style="58" customWidth="1"/>
    <col min="14" max="14" width="9.140625" style="58" customWidth="1"/>
    <col min="15" max="16384" width="9.140625" style="58"/>
  </cols>
  <sheetData>
    <row r="2" spans="1:14" ht="24" customHeight="1" x14ac:dyDescent="0.4">
      <c r="A2" s="57"/>
      <c r="B2" s="178" t="s">
        <v>0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24" customHeight="1" x14ac:dyDescent="0.3">
      <c r="A3" s="57"/>
      <c r="C3" s="179" t="s">
        <v>11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</row>
    <row r="4" spans="1:14" ht="15" customHeight="1" x14ac:dyDescent="0.35">
      <c r="A4" s="57"/>
      <c r="B4" s="57"/>
      <c r="C4" s="59"/>
      <c r="D4" s="59"/>
      <c r="E4" s="59"/>
      <c r="F4" s="59"/>
      <c r="G4" s="59"/>
      <c r="H4" s="59"/>
      <c r="I4" s="57"/>
      <c r="J4" s="57"/>
      <c r="K4" s="57"/>
      <c r="L4" s="57"/>
    </row>
    <row r="5" spans="1:14" ht="15" customHeight="1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4" ht="19.5" customHeight="1" x14ac:dyDescent="0.35">
      <c r="A6" s="57"/>
      <c r="C6" s="60" t="s">
        <v>1</v>
      </c>
      <c r="D6" s="59"/>
      <c r="E6" s="59"/>
      <c r="F6" s="59"/>
      <c r="G6" s="59"/>
      <c r="H6" s="59"/>
      <c r="I6" s="59"/>
      <c r="J6" s="57"/>
      <c r="K6" s="57"/>
      <c r="L6" s="57"/>
    </row>
    <row r="7" spans="1:14" ht="19.5" customHeight="1" x14ac:dyDescent="0.35">
      <c r="A7" s="57"/>
      <c r="C7" s="60" t="s">
        <v>56</v>
      </c>
      <c r="D7" s="59"/>
      <c r="E7" s="59"/>
      <c r="F7" s="59"/>
      <c r="G7" s="59"/>
      <c r="H7" s="59"/>
      <c r="I7" s="59"/>
      <c r="J7" s="57"/>
      <c r="K7" s="57"/>
      <c r="L7" s="57"/>
    </row>
    <row r="8" spans="1:14" ht="15.75" thickBot="1" x14ac:dyDescent="0.3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4" ht="16.5" thickTop="1" x14ac:dyDescent="0.25">
      <c r="A9" s="57"/>
      <c r="D9" s="3" t="s">
        <v>2</v>
      </c>
      <c r="E9" s="3"/>
      <c r="F9" s="3"/>
      <c r="G9" s="4"/>
      <c r="H9" s="4"/>
      <c r="I9" s="4"/>
      <c r="J9" s="4"/>
      <c r="K9" s="2"/>
      <c r="M9" s="64">
        <v>0</v>
      </c>
    </row>
    <row r="10" spans="1:14" ht="18.75" thickBot="1" x14ac:dyDescent="0.3">
      <c r="A10" s="61"/>
      <c r="D10" s="3" t="s">
        <v>3</v>
      </c>
      <c r="E10" s="3"/>
      <c r="F10" s="3"/>
      <c r="G10" s="4"/>
      <c r="H10" s="4"/>
      <c r="I10" s="4"/>
      <c r="J10" s="4"/>
      <c r="K10" s="2"/>
      <c r="M10" s="65">
        <v>-0.03</v>
      </c>
    </row>
    <row r="11" spans="1:14" ht="15.75" thickTop="1" x14ac:dyDescent="0.25">
      <c r="A11" s="57"/>
      <c r="B11" s="62"/>
      <c r="C11" s="62"/>
      <c r="D11" s="62"/>
      <c r="E11" s="62"/>
      <c r="F11" s="62"/>
      <c r="G11" s="62"/>
      <c r="H11" s="62"/>
      <c r="I11" s="57"/>
      <c r="J11" s="57"/>
      <c r="K11" s="57"/>
      <c r="L11" s="57"/>
    </row>
    <row r="12" spans="1:14" x14ac:dyDescent="0.25">
      <c r="A12" s="57"/>
      <c r="B12" s="62"/>
      <c r="C12" s="62"/>
      <c r="D12" s="62"/>
      <c r="E12" s="62"/>
      <c r="F12" s="62"/>
      <c r="G12" s="62"/>
      <c r="H12" s="62"/>
      <c r="I12" s="57"/>
      <c r="J12" s="57"/>
      <c r="K12" s="57"/>
      <c r="L12" s="57"/>
    </row>
    <row r="13" spans="1:14" ht="17.25" customHeight="1" x14ac:dyDescent="0.25">
      <c r="A13" s="57"/>
      <c r="C13" s="63" t="s">
        <v>57</v>
      </c>
      <c r="D13" s="63"/>
      <c r="E13" s="63"/>
      <c r="F13" s="63"/>
      <c r="G13" s="63"/>
      <c r="H13" s="63"/>
      <c r="I13" s="63"/>
      <c r="J13" s="63"/>
      <c r="K13" s="57"/>
      <c r="L13" s="57"/>
      <c r="M13" s="57"/>
    </row>
    <row r="14" spans="1:14" ht="17.25" customHeight="1" x14ac:dyDescent="0.25">
      <c r="C14" s="63" t="s">
        <v>59</v>
      </c>
      <c r="D14" s="63"/>
      <c r="E14" s="63"/>
      <c r="F14" s="63"/>
      <c r="G14" s="63"/>
      <c r="H14" s="63"/>
      <c r="I14" s="63"/>
      <c r="J14" s="63"/>
    </row>
    <row r="15" spans="1:14" ht="17.25" customHeight="1" x14ac:dyDescent="0.25">
      <c r="B15" s="63"/>
      <c r="C15" s="95" t="s">
        <v>58</v>
      </c>
      <c r="D15" s="63"/>
      <c r="E15" s="63"/>
      <c r="F15" s="63"/>
      <c r="G15" s="63"/>
      <c r="H15" s="63"/>
      <c r="I15" s="63"/>
      <c r="J15" s="63"/>
      <c r="K15" s="63"/>
    </row>
    <row r="16" spans="1:14" ht="17.25" customHeight="1" x14ac:dyDescent="0.25">
      <c r="B16" s="62"/>
      <c r="C16" s="95" t="s">
        <v>60</v>
      </c>
      <c r="D16" s="62"/>
      <c r="E16" s="62"/>
      <c r="F16" s="76"/>
      <c r="G16" s="76"/>
      <c r="H16" s="76"/>
      <c r="I16" s="76"/>
      <c r="J16" s="76"/>
      <c r="K16" s="76"/>
    </row>
    <row r="17" spans="2:13" ht="10.5" customHeight="1" x14ac:dyDescent="0.25">
      <c r="B17" s="62"/>
      <c r="C17" s="62"/>
      <c r="D17" s="62"/>
      <c r="E17" s="62"/>
      <c r="F17" s="76"/>
      <c r="G17" s="76"/>
      <c r="H17" s="76"/>
      <c r="I17" s="76"/>
      <c r="J17" s="76"/>
      <c r="K17" s="76"/>
    </row>
    <row r="18" spans="2:13" ht="10.5" customHeight="1" x14ac:dyDescent="0.25">
      <c r="B18" s="62"/>
      <c r="C18" s="62"/>
      <c r="D18" s="62"/>
      <c r="E18" s="62"/>
      <c r="F18" s="76"/>
      <c r="G18" s="76"/>
      <c r="H18" s="76"/>
      <c r="I18" s="76"/>
      <c r="J18" s="76"/>
      <c r="K18" s="76"/>
    </row>
    <row r="19" spans="2:13" ht="10.5" customHeight="1" x14ac:dyDescent="0.25">
      <c r="B19" s="62"/>
      <c r="C19" s="62"/>
      <c r="D19" s="62"/>
      <c r="E19" s="62"/>
      <c r="F19" s="180" t="s">
        <v>52</v>
      </c>
      <c r="G19" s="180"/>
      <c r="H19" s="76"/>
      <c r="I19" s="180" t="s">
        <v>50</v>
      </c>
      <c r="J19" s="180"/>
      <c r="K19" s="84"/>
      <c r="L19" s="180" t="s">
        <v>55</v>
      </c>
      <c r="M19" s="180"/>
    </row>
    <row r="20" spans="2:13" ht="10.5" customHeight="1" x14ac:dyDescent="0.25">
      <c r="B20" s="62"/>
      <c r="C20" s="62"/>
      <c r="D20" s="62"/>
      <c r="E20" s="62"/>
      <c r="F20" s="180" t="s">
        <v>51</v>
      </c>
      <c r="G20" s="180"/>
      <c r="H20" s="76"/>
      <c r="I20" s="180" t="s">
        <v>49</v>
      </c>
      <c r="J20" s="180"/>
      <c r="K20" s="84"/>
      <c r="L20" s="180" t="s">
        <v>49</v>
      </c>
      <c r="M20" s="180"/>
    </row>
    <row r="21" spans="2:13" ht="5.25" customHeight="1" x14ac:dyDescent="0.25">
      <c r="B21" s="62"/>
      <c r="C21" s="62"/>
      <c r="D21" s="62"/>
      <c r="E21" s="62"/>
      <c r="F21" s="76"/>
      <c r="G21" s="76"/>
      <c r="H21" s="76"/>
      <c r="I21" s="76"/>
      <c r="J21" s="76"/>
      <c r="K21" s="76"/>
      <c r="L21" s="76"/>
      <c r="M21" s="76"/>
    </row>
    <row r="22" spans="2:13" ht="11.25" customHeight="1" x14ac:dyDescent="0.25">
      <c r="B22" s="62"/>
      <c r="C22" s="62"/>
      <c r="D22" s="62"/>
      <c r="E22" s="62"/>
      <c r="F22" s="5" t="s">
        <v>4</v>
      </c>
      <c r="G22" s="5" t="s">
        <v>5</v>
      </c>
      <c r="I22" s="5" t="s">
        <v>4</v>
      </c>
      <c r="J22" s="5" t="s">
        <v>5</v>
      </c>
      <c r="L22" s="5" t="s">
        <v>53</v>
      </c>
      <c r="M22" s="5" t="s">
        <v>54</v>
      </c>
    </row>
    <row r="23" spans="2:13" ht="11.25" customHeight="1" x14ac:dyDescent="0.25">
      <c r="B23" s="62"/>
      <c r="C23" s="62"/>
      <c r="D23" s="62"/>
      <c r="E23" s="62"/>
      <c r="F23" s="5" t="s">
        <v>6</v>
      </c>
      <c r="G23" s="5" t="s">
        <v>7</v>
      </c>
      <c r="I23" s="5" t="s">
        <v>6</v>
      </c>
      <c r="J23" s="5" t="s">
        <v>7</v>
      </c>
      <c r="L23" s="5" t="s">
        <v>6</v>
      </c>
      <c r="M23" s="5" t="s">
        <v>7</v>
      </c>
    </row>
    <row r="24" spans="2:13" ht="5.25" customHeight="1" x14ac:dyDescent="0.25">
      <c r="B24" s="62"/>
      <c r="C24" s="62"/>
      <c r="D24" s="62"/>
      <c r="E24" s="62"/>
      <c r="I24" s="62"/>
      <c r="J24" s="62"/>
      <c r="L24" s="62"/>
      <c r="M24" s="62"/>
    </row>
    <row r="25" spans="2:13" x14ac:dyDescent="0.25">
      <c r="B25" s="62"/>
      <c r="C25" s="1" t="s">
        <v>8</v>
      </c>
      <c r="D25" s="1">
        <f>SUM(Sheet1!C157)</f>
        <v>2024</v>
      </c>
      <c r="E25" s="62"/>
      <c r="F25" s="6">
        <f>SUM(Sheet1!E165)</f>
        <v>0.78107336635463898</v>
      </c>
      <c r="G25" s="7">
        <f>SUM(Sheet1!D165)</f>
        <v>21660.747883467553</v>
      </c>
      <c r="I25" s="78">
        <f>SUM(Sheet1!Q61)</f>
        <v>0.74152804991420507</v>
      </c>
      <c r="J25" s="79">
        <f>SUM(Sheet1!D157)</f>
        <v>21206.106988352807</v>
      </c>
      <c r="L25" s="85">
        <f>SUM(I25-F25)</f>
        <v>-3.9545316440433909E-2</v>
      </c>
      <c r="M25" s="86">
        <f>SUM(J25-G25)</f>
        <v>-454.64089511474594</v>
      </c>
    </row>
    <row r="26" spans="2:13" x14ac:dyDescent="0.25">
      <c r="B26" s="62"/>
      <c r="C26" s="1" t="s">
        <v>8</v>
      </c>
      <c r="D26" s="1">
        <f>SUM(Sheet1!C158)</f>
        <v>2025</v>
      </c>
      <c r="E26" s="62"/>
      <c r="F26" s="8">
        <f>SUM(Sheet1!E166)</f>
        <v>0.78022217974919528</v>
      </c>
      <c r="G26" s="9">
        <f>SUM(Sheet1!D166)</f>
        <v>21808.424625043721</v>
      </c>
      <c r="I26" s="80">
        <f>SUM(Sheet1!Q83)</f>
        <v>0.73732570360034544</v>
      </c>
      <c r="J26" s="81">
        <f>SUM(Sheet1!D158)</f>
        <v>20893.774915398179</v>
      </c>
      <c r="L26" s="87">
        <f t="shared" ref="L26:L28" si="0">SUM(I26-F26)</f>
        <v>-4.2896476148849838E-2</v>
      </c>
      <c r="M26" s="88">
        <f t="shared" ref="M26:M28" si="1">SUM(J26-G26)</f>
        <v>-914.64970964554232</v>
      </c>
    </row>
    <row r="27" spans="2:13" x14ac:dyDescent="0.25">
      <c r="B27" s="62"/>
      <c r="C27" s="1" t="s">
        <v>8</v>
      </c>
      <c r="D27" s="1">
        <f>SUM(Sheet1!C159)</f>
        <v>2026</v>
      </c>
      <c r="E27" s="62"/>
      <c r="F27" s="8">
        <f>SUM(Sheet1!E167)</f>
        <v>0.78025843066847078</v>
      </c>
      <c r="G27" s="9">
        <f>SUM(Sheet1!D167)</f>
        <v>21920.443181061521</v>
      </c>
      <c r="I27" s="80">
        <f>SUM(Sheet1!Q105)</f>
        <v>0.73489460625422931</v>
      </c>
      <c r="J27" s="81">
        <f>SUM(Sheet1!D159)</f>
        <v>20764.81134861258</v>
      </c>
      <c r="L27" s="87">
        <f t="shared" si="0"/>
        <v>-4.5363824414241471E-2</v>
      </c>
      <c r="M27" s="88">
        <f t="shared" si="1"/>
        <v>-1155.6318324489403</v>
      </c>
    </row>
    <row r="28" spans="2:13" x14ac:dyDescent="0.25">
      <c r="B28" s="62"/>
      <c r="C28" s="1" t="s">
        <v>8</v>
      </c>
      <c r="D28" s="1">
        <f>SUM(Sheet1!C160)</f>
        <v>2027</v>
      </c>
      <c r="E28" s="62"/>
      <c r="F28" s="10">
        <f>SUM(Sheet1!E168)</f>
        <v>0.78053144256755991</v>
      </c>
      <c r="G28" s="11">
        <f>SUM(Sheet1!D168)</f>
        <v>21985.537772647865</v>
      </c>
      <c r="I28" s="82">
        <f>SUM(Sheet1!Q127)</f>
        <v>0.73401306797328969</v>
      </c>
      <c r="J28" s="83">
        <f>SUM(Sheet1!D160)</f>
        <v>20711.406746558056</v>
      </c>
      <c r="L28" s="89">
        <f t="shared" si="0"/>
        <v>-4.6518374594270218E-2</v>
      </c>
      <c r="M28" s="90">
        <f t="shared" si="1"/>
        <v>-1274.1310260898099</v>
      </c>
    </row>
    <row r="29" spans="2:13" x14ac:dyDescent="0.25">
      <c r="B29" s="62"/>
      <c r="C29" s="62"/>
      <c r="D29" s="62"/>
      <c r="E29" s="62"/>
      <c r="F29" s="62"/>
      <c r="G29" s="62"/>
      <c r="H29" s="62"/>
      <c r="I29" s="62"/>
    </row>
    <row r="30" spans="2:13" x14ac:dyDescent="0.25">
      <c r="B30" s="62"/>
      <c r="C30" s="62"/>
      <c r="D30" s="62"/>
      <c r="E30" s="62"/>
      <c r="F30" s="62"/>
      <c r="G30" s="62"/>
      <c r="H30" s="62"/>
      <c r="I30" s="62"/>
    </row>
    <row r="31" spans="2:13" x14ac:dyDescent="0.25">
      <c r="B31" s="62"/>
      <c r="C31" s="62"/>
      <c r="D31" s="62"/>
      <c r="E31" s="62"/>
      <c r="F31" s="62"/>
      <c r="G31" s="62"/>
      <c r="H31" s="62"/>
      <c r="I31" s="62"/>
    </row>
    <row r="32" spans="2:13" x14ac:dyDescent="0.25">
      <c r="B32" s="62"/>
      <c r="C32" s="62"/>
      <c r="D32" s="62"/>
      <c r="E32" s="62"/>
      <c r="F32" s="62"/>
      <c r="G32" s="62"/>
      <c r="H32" s="62"/>
      <c r="I32" s="62"/>
    </row>
    <row r="33" spans="2:15" x14ac:dyDescent="0.25">
      <c r="B33" s="62"/>
      <c r="C33" s="62"/>
      <c r="D33" s="62"/>
      <c r="E33" s="62"/>
      <c r="F33" s="62"/>
      <c r="G33" s="62"/>
      <c r="H33" s="62"/>
      <c r="I33" s="62"/>
    </row>
    <row r="34" spans="2:15" x14ac:dyDescent="0.25">
      <c r="B34" s="62"/>
      <c r="C34" s="62"/>
      <c r="D34" s="62"/>
      <c r="E34" s="62"/>
      <c r="F34" s="62"/>
      <c r="G34" s="62"/>
      <c r="H34" s="62"/>
      <c r="I34" s="62"/>
    </row>
    <row r="35" spans="2:15" x14ac:dyDescent="0.25">
      <c r="B35" s="62"/>
      <c r="C35" s="62"/>
      <c r="D35" s="62"/>
      <c r="E35" s="62"/>
      <c r="F35" s="62"/>
      <c r="G35" s="62"/>
      <c r="H35" s="62"/>
      <c r="I35" s="62"/>
    </row>
    <row r="36" spans="2:15" x14ac:dyDescent="0.25">
      <c r="I36" s="62"/>
      <c r="J36" s="62"/>
      <c r="K36" s="62"/>
      <c r="L36" s="62"/>
      <c r="M36" s="62"/>
      <c r="N36" s="62"/>
      <c r="O36" s="62"/>
    </row>
    <row r="37" spans="2:15" x14ac:dyDescent="0.25">
      <c r="I37" s="62"/>
      <c r="J37" s="62"/>
      <c r="K37" s="62"/>
      <c r="L37" s="62"/>
      <c r="M37" s="62"/>
      <c r="N37" s="62"/>
      <c r="O37" s="62"/>
    </row>
    <row r="38" spans="2:15" x14ac:dyDescent="0.25">
      <c r="I38" s="62"/>
      <c r="J38" s="62"/>
      <c r="K38" s="62"/>
      <c r="L38" s="62"/>
      <c r="M38" s="62"/>
      <c r="N38" s="62"/>
      <c r="O38" s="62"/>
    </row>
    <row r="39" spans="2:15" x14ac:dyDescent="0.25">
      <c r="I39" s="62"/>
      <c r="J39" s="62"/>
      <c r="K39" s="62"/>
      <c r="L39" s="62"/>
      <c r="M39" s="62"/>
      <c r="N39" s="62"/>
      <c r="O39" s="62"/>
    </row>
    <row r="40" spans="2:15" x14ac:dyDescent="0.25">
      <c r="I40" s="62"/>
      <c r="J40" s="62"/>
      <c r="K40" s="62"/>
      <c r="L40" s="62"/>
      <c r="M40" s="62"/>
      <c r="N40" s="62"/>
      <c r="O40" s="62"/>
    </row>
    <row r="41" spans="2:15" x14ac:dyDescent="0.25">
      <c r="I41" s="62"/>
      <c r="J41" s="62"/>
      <c r="K41" s="62"/>
      <c r="L41" s="62"/>
      <c r="M41" s="62"/>
      <c r="N41" s="62"/>
      <c r="O41" s="62"/>
    </row>
    <row r="42" spans="2:15" x14ac:dyDescent="0.25">
      <c r="I42" s="62"/>
      <c r="J42" s="62"/>
      <c r="K42" s="62"/>
      <c r="L42" s="62"/>
      <c r="M42" s="62"/>
      <c r="N42" s="62"/>
      <c r="O42" s="62"/>
    </row>
    <row r="43" spans="2:15" x14ac:dyDescent="0.25">
      <c r="I43" s="62"/>
      <c r="J43" s="62"/>
      <c r="K43" s="62"/>
      <c r="L43" s="62"/>
      <c r="M43" s="62"/>
      <c r="N43" s="62"/>
      <c r="O43" s="62"/>
    </row>
    <row r="44" spans="2:15" x14ac:dyDescent="0.25">
      <c r="I44" s="62"/>
      <c r="J44" s="62"/>
      <c r="K44" s="62"/>
      <c r="L44" s="62"/>
      <c r="M44" s="62"/>
      <c r="N44" s="62"/>
      <c r="O44" s="62"/>
    </row>
    <row r="45" spans="2:15" x14ac:dyDescent="0.25">
      <c r="I45" s="62"/>
      <c r="J45" s="62"/>
      <c r="K45" s="62"/>
      <c r="L45" s="62"/>
      <c r="M45" s="62"/>
      <c r="N45" s="62"/>
      <c r="O45" s="62"/>
    </row>
    <row r="46" spans="2:15" x14ac:dyDescent="0.25">
      <c r="I46" s="62"/>
      <c r="J46" s="62"/>
      <c r="K46" s="62"/>
      <c r="L46" s="62"/>
      <c r="M46" s="62"/>
      <c r="N46" s="62"/>
      <c r="O46" s="62"/>
    </row>
    <row r="47" spans="2:15" x14ac:dyDescent="0.25">
      <c r="I47" s="62"/>
      <c r="J47" s="62"/>
      <c r="K47" s="62"/>
      <c r="L47" s="62"/>
      <c r="M47" s="62"/>
      <c r="N47" s="62"/>
      <c r="O47" s="62"/>
    </row>
    <row r="48" spans="2:15" x14ac:dyDescent="0.25">
      <c r="I48" s="62"/>
      <c r="J48" s="62"/>
      <c r="K48" s="62"/>
      <c r="L48" s="62"/>
      <c r="M48" s="62"/>
      <c r="N48" s="62"/>
      <c r="O48" s="62"/>
    </row>
    <row r="49" spans="9:15" x14ac:dyDescent="0.25">
      <c r="I49" s="62"/>
      <c r="J49" s="62"/>
      <c r="K49" s="62"/>
      <c r="L49" s="62"/>
      <c r="M49" s="62"/>
      <c r="N49" s="62"/>
      <c r="O49" s="62"/>
    </row>
  </sheetData>
  <mergeCells count="8">
    <mergeCell ref="B2:N2"/>
    <mergeCell ref="C3:M3"/>
    <mergeCell ref="L19:M19"/>
    <mergeCell ref="L20:M20"/>
    <mergeCell ref="I20:J20"/>
    <mergeCell ref="I19:J19"/>
    <mergeCell ref="F19:G19"/>
    <mergeCell ref="F20:G20"/>
  </mergeCells>
  <pageMargins left="0.7" right="0.7" top="0.75" bottom="0.75" header="0.3" footer="0.3"/>
  <pageSetup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Q18"/>
  <sheetViews>
    <sheetView workbookViewId="0">
      <selection activeCell="K11" sqref="K11"/>
    </sheetView>
  </sheetViews>
  <sheetFormatPr defaultRowHeight="15" x14ac:dyDescent="0.25"/>
  <cols>
    <col min="1" max="1" width="5.7109375" customWidth="1"/>
    <col min="2" max="2" width="12" customWidth="1"/>
    <col min="3" max="16" width="5.7109375" customWidth="1"/>
  </cols>
  <sheetData>
    <row r="3" spans="1:17" ht="15.75" x14ac:dyDescent="0.25">
      <c r="A3" s="91"/>
      <c r="B3" s="66" t="s">
        <v>11</v>
      </c>
      <c r="C3" s="69" t="s">
        <v>11</v>
      </c>
      <c r="D3" s="69" t="s">
        <v>11</v>
      </c>
      <c r="E3" s="69" t="s">
        <v>11</v>
      </c>
      <c r="F3" s="69" t="s">
        <v>10</v>
      </c>
      <c r="G3" s="69" t="s">
        <v>10</v>
      </c>
      <c r="H3" s="99" t="s">
        <v>8</v>
      </c>
      <c r="I3" s="99">
        <f>SUM(Sheet1!K3)</f>
        <v>2022</v>
      </c>
      <c r="J3" s="69" t="s">
        <v>10</v>
      </c>
      <c r="K3" s="69" t="s">
        <v>10</v>
      </c>
      <c r="L3" s="69" t="s">
        <v>10</v>
      </c>
      <c r="M3" s="69" t="s">
        <v>10</v>
      </c>
      <c r="N3" s="69" t="s">
        <v>10</v>
      </c>
      <c r="O3" s="69"/>
      <c r="P3" s="91"/>
      <c r="Q3" s="92"/>
    </row>
    <row r="4" spans="1:17" ht="25.5" x14ac:dyDescent="0.25">
      <c r="A4" s="70"/>
      <c r="B4" s="70" t="s">
        <v>11</v>
      </c>
      <c r="C4" s="98" t="s">
        <v>13</v>
      </c>
      <c r="D4" s="98" t="s">
        <v>14</v>
      </c>
      <c r="E4" s="98" t="s">
        <v>15</v>
      </c>
      <c r="F4" s="98" t="s">
        <v>16</v>
      </c>
      <c r="G4" s="98" t="s">
        <v>17</v>
      </c>
      <c r="H4" s="98" t="s">
        <v>18</v>
      </c>
      <c r="I4" s="98" t="s">
        <v>19</v>
      </c>
      <c r="J4" s="98" t="s">
        <v>20</v>
      </c>
      <c r="K4" s="98" t="s">
        <v>21</v>
      </c>
      <c r="L4" s="98" t="s">
        <v>22</v>
      </c>
      <c r="M4" s="98" t="s">
        <v>23</v>
      </c>
      <c r="N4" s="98" t="s">
        <v>24</v>
      </c>
      <c r="O4" s="75" t="s">
        <v>25</v>
      </c>
      <c r="P4" s="70"/>
      <c r="Q4" s="14"/>
    </row>
    <row r="5" spans="1:17" x14ac:dyDescent="0.25">
      <c r="A5" s="71"/>
      <c r="B5" s="71"/>
      <c r="C5" s="113">
        <f>SUM(Sheet1!E5)</f>
        <v>2414</v>
      </c>
      <c r="D5" s="113">
        <f>SUM(Sheet1!F5)</f>
        <v>1275</v>
      </c>
      <c r="E5" s="113">
        <f>SUM(Sheet1!G5)</f>
        <v>2869</v>
      </c>
      <c r="F5" s="113">
        <f>SUM(Sheet1!H5)</f>
        <v>3245</v>
      </c>
      <c r="G5" s="113">
        <f>SUM(Sheet1!I5)</f>
        <v>4373</v>
      </c>
      <c r="H5" s="113">
        <f>SUM(Sheet1!J5)</f>
        <v>2532</v>
      </c>
      <c r="I5" s="113">
        <f>SUM(Sheet1!K5)</f>
        <v>3747</v>
      </c>
      <c r="J5" s="113">
        <f>SUM(Sheet1!L5)</f>
        <v>173</v>
      </c>
      <c r="K5" s="113">
        <f>SUM(Sheet1!M5)</f>
        <v>64</v>
      </c>
      <c r="L5" s="113">
        <f>SUM(Sheet1!N5)</f>
        <v>80</v>
      </c>
      <c r="M5" s="113">
        <f>SUM(Sheet1!O5)</f>
        <v>894</v>
      </c>
      <c r="N5" s="113">
        <f>SUM(Sheet1!P5)</f>
        <v>251</v>
      </c>
      <c r="O5" s="113">
        <f>SUM(Sheet1!Q5)</f>
        <v>21917</v>
      </c>
      <c r="P5" s="71"/>
      <c r="Q5" s="15"/>
    </row>
    <row r="6" spans="1:17" ht="15.75" x14ac:dyDescent="0.25">
      <c r="A6" s="100" t="s">
        <v>8</v>
      </c>
      <c r="B6" s="101" t="s">
        <v>26</v>
      </c>
      <c r="C6" s="150">
        <f>SUM(Sheet1!E6)</f>
        <v>0</v>
      </c>
      <c r="D6" s="151">
        <f>SUM(Sheet1!F6)</f>
        <v>0</v>
      </c>
      <c r="E6" s="151">
        <f>SUM(Sheet1!G6)</f>
        <v>0</v>
      </c>
      <c r="F6" s="151">
        <f>SUM(Sheet1!H6)</f>
        <v>0</v>
      </c>
      <c r="G6" s="151">
        <f>SUM(Sheet1!I6)</f>
        <v>0</v>
      </c>
      <c r="H6" s="151">
        <f>SUM(Sheet1!J6)</f>
        <v>351</v>
      </c>
      <c r="I6" s="151">
        <f>SUM(Sheet1!K6)</f>
        <v>0</v>
      </c>
      <c r="J6" s="151">
        <f>SUM(Sheet1!L6)</f>
        <v>0</v>
      </c>
      <c r="K6" s="151">
        <f>SUM(Sheet1!M6)</f>
        <v>0</v>
      </c>
      <c r="L6" s="151">
        <f>SUM(Sheet1!N6)</f>
        <v>0</v>
      </c>
      <c r="M6" s="151">
        <f>SUM(Sheet1!O6)</f>
        <v>0</v>
      </c>
      <c r="N6" s="152">
        <f>SUM(Sheet1!P6)</f>
        <v>0</v>
      </c>
      <c r="O6" s="103">
        <f>SUM(C6:N6)</f>
        <v>351</v>
      </c>
      <c r="P6" s="14"/>
      <c r="Q6" s="92"/>
    </row>
    <row r="7" spans="1:17" ht="15.75" x14ac:dyDescent="0.25">
      <c r="A7" s="100">
        <f>SUM(Sheet1!B7)</f>
        <v>2023</v>
      </c>
      <c r="B7" s="101" t="s">
        <v>27</v>
      </c>
      <c r="C7" s="153">
        <f>SUM(Sheet1!E7)</f>
        <v>543</v>
      </c>
      <c r="D7" s="66">
        <f>SUM(Sheet1!F7)</f>
        <v>93</v>
      </c>
      <c r="E7" s="66">
        <f>SUM(Sheet1!G7)</f>
        <v>0</v>
      </c>
      <c r="F7" s="66">
        <f>SUM(Sheet1!H7)</f>
        <v>0</v>
      </c>
      <c r="G7" s="66">
        <f>SUM(Sheet1!I7)</f>
        <v>0</v>
      </c>
      <c r="H7" s="66">
        <f>SUM(Sheet1!J7)</f>
        <v>0</v>
      </c>
      <c r="I7" s="66">
        <f>SUM(Sheet1!K7)</f>
        <v>0</v>
      </c>
      <c r="J7" s="66">
        <f>SUM(Sheet1!L7)</f>
        <v>0</v>
      </c>
      <c r="K7" s="66">
        <f>SUM(Sheet1!M7)</f>
        <v>0</v>
      </c>
      <c r="L7" s="66">
        <f>SUM(Sheet1!N7)</f>
        <v>0</v>
      </c>
      <c r="M7" s="66">
        <f>SUM(Sheet1!O7)</f>
        <v>0</v>
      </c>
      <c r="N7" s="154">
        <f>SUM(Sheet1!P7)</f>
        <v>0</v>
      </c>
      <c r="O7" s="103">
        <f t="shared" ref="O7:O16" si="0">SUM(C7:N7)</f>
        <v>636</v>
      </c>
      <c r="P7" s="14"/>
      <c r="Q7" s="92"/>
    </row>
    <row r="8" spans="1:17" x14ac:dyDescent="0.25">
      <c r="A8" s="102"/>
      <c r="B8" s="101" t="s">
        <v>28</v>
      </c>
      <c r="C8" s="153">
        <f>SUM(Sheet1!E8)</f>
        <v>1097</v>
      </c>
      <c r="D8" s="66">
        <f>SUM(Sheet1!F8)</f>
        <v>529</v>
      </c>
      <c r="E8" s="66">
        <f>SUM(Sheet1!G8)</f>
        <v>407</v>
      </c>
      <c r="F8" s="66">
        <f>SUM(Sheet1!H8)</f>
        <v>0</v>
      </c>
      <c r="G8" s="66">
        <f>SUM(Sheet1!I8)</f>
        <v>0</v>
      </c>
      <c r="H8" s="66">
        <f>SUM(Sheet1!J8)</f>
        <v>1</v>
      </c>
      <c r="I8" s="66">
        <f>SUM(Sheet1!K8)</f>
        <v>0</v>
      </c>
      <c r="J8" s="66">
        <f>SUM(Sheet1!L8)</f>
        <v>0</v>
      </c>
      <c r="K8" s="66">
        <f>SUM(Sheet1!M8)</f>
        <v>0</v>
      </c>
      <c r="L8" s="66">
        <f>SUM(Sheet1!N8)</f>
        <v>0</v>
      </c>
      <c r="M8" s="66">
        <f>SUM(Sheet1!O8)</f>
        <v>0</v>
      </c>
      <c r="N8" s="154">
        <f>SUM(Sheet1!P8)</f>
        <v>0</v>
      </c>
      <c r="O8" s="103">
        <f t="shared" si="0"/>
        <v>2034</v>
      </c>
      <c r="P8" s="14"/>
      <c r="Q8" s="92"/>
    </row>
    <row r="9" spans="1:17" x14ac:dyDescent="0.25">
      <c r="A9" s="102"/>
      <c r="B9" s="101" t="s">
        <v>29</v>
      </c>
      <c r="C9" s="153">
        <f>SUM(Sheet1!E9)</f>
        <v>59</v>
      </c>
      <c r="D9" s="66">
        <f>SUM(Sheet1!F9)</f>
        <v>66</v>
      </c>
      <c r="E9" s="66">
        <f>SUM(Sheet1!G9)</f>
        <v>1703</v>
      </c>
      <c r="F9" s="66">
        <f>SUM(Sheet1!H9)</f>
        <v>450</v>
      </c>
      <c r="G9" s="66">
        <f>SUM(Sheet1!I9)</f>
        <v>1</v>
      </c>
      <c r="H9" s="66">
        <f>SUM(Sheet1!J9)</f>
        <v>0</v>
      </c>
      <c r="I9" s="66">
        <f>SUM(Sheet1!K9)</f>
        <v>0</v>
      </c>
      <c r="J9" s="66">
        <f>SUM(Sheet1!L9)</f>
        <v>0</v>
      </c>
      <c r="K9" s="66">
        <f>SUM(Sheet1!M9)</f>
        <v>0</v>
      </c>
      <c r="L9" s="66">
        <f>SUM(Sheet1!N9)</f>
        <v>0</v>
      </c>
      <c r="M9" s="66">
        <f>SUM(Sheet1!O9)</f>
        <v>0</v>
      </c>
      <c r="N9" s="154">
        <f>SUM(Sheet1!P9)</f>
        <v>0</v>
      </c>
      <c r="O9" s="103">
        <f t="shared" si="0"/>
        <v>2279</v>
      </c>
      <c r="P9" s="14"/>
      <c r="Q9" s="92"/>
    </row>
    <row r="10" spans="1:17" x14ac:dyDescent="0.25">
      <c r="A10" s="102"/>
      <c r="B10" s="101" t="s">
        <v>30</v>
      </c>
      <c r="C10" s="153">
        <f>SUM(Sheet1!E10)</f>
        <v>3</v>
      </c>
      <c r="D10" s="66">
        <f>SUM(Sheet1!F10)</f>
        <v>0</v>
      </c>
      <c r="E10" s="66">
        <f>SUM(Sheet1!G10)</f>
        <v>140</v>
      </c>
      <c r="F10" s="66">
        <f>SUM(Sheet1!H10)</f>
        <v>2090</v>
      </c>
      <c r="G10" s="66">
        <f>SUM(Sheet1!I10)</f>
        <v>1263</v>
      </c>
      <c r="H10" s="66">
        <f>SUM(Sheet1!J10)</f>
        <v>6</v>
      </c>
      <c r="I10" s="66">
        <f>SUM(Sheet1!K10)</f>
        <v>0</v>
      </c>
      <c r="J10" s="66">
        <f>SUM(Sheet1!L10)</f>
        <v>0</v>
      </c>
      <c r="K10" s="66">
        <f>SUM(Sheet1!M10)</f>
        <v>0</v>
      </c>
      <c r="L10" s="66">
        <f>SUM(Sheet1!N10)</f>
        <v>0</v>
      </c>
      <c r="M10" s="66">
        <f>SUM(Sheet1!O10)</f>
        <v>0</v>
      </c>
      <c r="N10" s="154">
        <f>SUM(Sheet1!P10)</f>
        <v>0</v>
      </c>
      <c r="O10" s="103">
        <f t="shared" si="0"/>
        <v>3502</v>
      </c>
      <c r="P10" s="14"/>
      <c r="Q10" s="92"/>
    </row>
    <row r="11" spans="1:17" x14ac:dyDescent="0.25">
      <c r="A11" s="102"/>
      <c r="B11" s="101" t="s">
        <v>18</v>
      </c>
      <c r="C11" s="153">
        <f>SUM(Sheet1!E11)</f>
        <v>0</v>
      </c>
      <c r="D11" s="66">
        <f>SUM(Sheet1!F11)</f>
        <v>0</v>
      </c>
      <c r="E11" s="66">
        <f>SUM(Sheet1!G11)</f>
        <v>1</v>
      </c>
      <c r="F11" s="66">
        <f>SUM(Sheet1!H11)</f>
        <v>0</v>
      </c>
      <c r="G11" s="66">
        <f>SUM(Sheet1!I11)</f>
        <v>16</v>
      </c>
      <c r="H11" s="66">
        <f>SUM(Sheet1!J11)</f>
        <v>538</v>
      </c>
      <c r="I11" s="66">
        <f>SUM(Sheet1!K11)</f>
        <v>4</v>
      </c>
      <c r="J11" s="66">
        <f>SUM(Sheet1!L11)</f>
        <v>0</v>
      </c>
      <c r="K11" s="66">
        <f>SUM(Sheet1!M11)</f>
        <v>0</v>
      </c>
      <c r="L11" s="66">
        <f>SUM(Sheet1!N11)</f>
        <v>0</v>
      </c>
      <c r="M11" s="66">
        <f>SUM(Sheet1!O11)</f>
        <v>0</v>
      </c>
      <c r="N11" s="154">
        <f>SUM(Sheet1!P11)</f>
        <v>0</v>
      </c>
      <c r="O11" s="103">
        <f t="shared" si="0"/>
        <v>559</v>
      </c>
      <c r="P11" s="14"/>
      <c r="Q11" s="92"/>
    </row>
    <row r="12" spans="1:17" x14ac:dyDescent="0.25">
      <c r="A12" s="102"/>
      <c r="B12" s="101" t="s">
        <v>19</v>
      </c>
      <c r="C12" s="153">
        <f>SUM(Sheet1!E12)</f>
        <v>0</v>
      </c>
      <c r="D12" s="66">
        <f>SUM(Sheet1!F12)</f>
        <v>0</v>
      </c>
      <c r="E12" s="66">
        <f>SUM(Sheet1!G12)</f>
        <v>0</v>
      </c>
      <c r="F12" s="66">
        <f>SUM(Sheet1!H12)</f>
        <v>8</v>
      </c>
      <c r="G12" s="66">
        <f>SUM(Sheet1!I12)</f>
        <v>208</v>
      </c>
      <c r="H12" s="66">
        <f>SUM(Sheet1!J12)</f>
        <v>5</v>
      </c>
      <c r="I12" s="66">
        <f>SUM(Sheet1!K12)</f>
        <v>1831</v>
      </c>
      <c r="J12" s="66">
        <f>SUM(Sheet1!L12)</f>
        <v>0</v>
      </c>
      <c r="K12" s="66">
        <f>SUM(Sheet1!M12)</f>
        <v>0</v>
      </c>
      <c r="L12" s="66">
        <f>SUM(Sheet1!N12)</f>
        <v>0</v>
      </c>
      <c r="M12" s="66">
        <f>SUM(Sheet1!O12)</f>
        <v>3</v>
      </c>
      <c r="N12" s="154">
        <f>SUM(Sheet1!P12)</f>
        <v>1</v>
      </c>
      <c r="O12" s="103">
        <f t="shared" si="0"/>
        <v>2056</v>
      </c>
      <c r="P12" s="14"/>
      <c r="Q12" s="92"/>
    </row>
    <row r="13" spans="1:17" x14ac:dyDescent="0.25">
      <c r="A13" s="102"/>
      <c r="B13" s="101" t="s">
        <v>72</v>
      </c>
      <c r="C13" s="153">
        <f>SUM(Sheet1!E16:E17)</f>
        <v>0</v>
      </c>
      <c r="D13" s="66">
        <f>SUM(Sheet1!F16:F17)</f>
        <v>0</v>
      </c>
      <c r="E13" s="66">
        <f>SUM(Sheet1!G16:G17)</f>
        <v>0</v>
      </c>
      <c r="F13" s="66">
        <f>SUM(Sheet1!H16:H17)</f>
        <v>0</v>
      </c>
      <c r="G13" s="66">
        <f>SUM(Sheet1!I16:I17)</f>
        <v>9</v>
      </c>
      <c r="H13" s="66">
        <f>SUM(Sheet1!J16:J17)</f>
        <v>0</v>
      </c>
      <c r="I13" s="66">
        <f>SUM(Sheet1!K16:K17)</f>
        <v>32</v>
      </c>
      <c r="J13" s="66">
        <f>SUM(Sheet1!L16:L17)</f>
        <v>0</v>
      </c>
      <c r="K13" s="66">
        <f>SUM(Sheet1!M16:M17)</f>
        <v>0</v>
      </c>
      <c r="L13" s="66">
        <f>SUM(Sheet1!N16:N17)</f>
        <v>0</v>
      </c>
      <c r="M13" s="66">
        <f>SUM(Sheet1!O16:O17)</f>
        <v>695</v>
      </c>
      <c r="N13" s="154">
        <f>SUM(Sheet1!P16:P17)</f>
        <v>148</v>
      </c>
      <c r="O13" s="103">
        <f t="shared" si="0"/>
        <v>884</v>
      </c>
      <c r="P13" s="14"/>
      <c r="Q13" s="92"/>
    </row>
    <row r="14" spans="1:17" x14ac:dyDescent="0.25">
      <c r="A14" s="102"/>
      <c r="B14" s="101" t="s">
        <v>71</v>
      </c>
      <c r="C14" s="153">
        <f>SUM(Sheet1!E13:E15)</f>
        <v>0</v>
      </c>
      <c r="D14" s="66">
        <f>SUM(Sheet1!F13:F15)</f>
        <v>0</v>
      </c>
      <c r="E14" s="66">
        <f>SUM(Sheet1!G13:G15)</f>
        <v>0</v>
      </c>
      <c r="F14" s="66">
        <f>SUM(Sheet1!H13:H15)</f>
        <v>1</v>
      </c>
      <c r="G14" s="66">
        <f>SUM(Sheet1!I13:I15)</f>
        <v>3</v>
      </c>
      <c r="H14" s="66">
        <f>SUM(Sheet1!J13:J15)</f>
        <v>0</v>
      </c>
      <c r="I14" s="66">
        <f>SUM(Sheet1!K13:K15)</f>
        <v>0</v>
      </c>
      <c r="J14" s="66">
        <f>SUM(Sheet1!L13:L15)</f>
        <v>157</v>
      </c>
      <c r="K14" s="66">
        <f>SUM(Sheet1!M13:M15)</f>
        <v>45</v>
      </c>
      <c r="L14" s="66">
        <f>SUM(Sheet1!N13:N15)</f>
        <v>3</v>
      </c>
      <c r="M14" s="66">
        <f>SUM(Sheet1!O13:O15)</f>
        <v>0</v>
      </c>
      <c r="N14" s="154">
        <f>SUM(Sheet1!P13:P15)</f>
        <v>0</v>
      </c>
      <c r="O14" s="103">
        <f>SUM(C14:N14)</f>
        <v>209</v>
      </c>
      <c r="P14" s="14"/>
      <c r="Q14" s="92"/>
    </row>
    <row r="15" spans="1:17" x14ac:dyDescent="0.25">
      <c r="A15" s="91"/>
      <c r="B15" s="12" t="s">
        <v>73</v>
      </c>
      <c r="C15" s="153">
        <f>SUM(Sheet1!E18)</f>
        <v>0</v>
      </c>
      <c r="D15" s="66">
        <f>SUM(Sheet1!F18)</f>
        <v>0</v>
      </c>
      <c r="E15" s="66">
        <f>SUM(Sheet1!G18)</f>
        <v>1</v>
      </c>
      <c r="F15" s="66">
        <f>SUM(Sheet1!H18)</f>
        <v>198</v>
      </c>
      <c r="G15" s="66">
        <f>SUM(Sheet1!I18)</f>
        <v>2341</v>
      </c>
      <c r="H15" s="66">
        <f>SUM(Sheet1!J18)</f>
        <v>0</v>
      </c>
      <c r="I15" s="66">
        <f>SUM(Sheet1!K18)</f>
        <v>1240</v>
      </c>
      <c r="J15" s="66">
        <f>SUM(Sheet1!L18)</f>
        <v>0</v>
      </c>
      <c r="K15" s="66">
        <f>SUM(Sheet1!M18)</f>
        <v>17</v>
      </c>
      <c r="L15" s="66">
        <f>SUM(Sheet1!N18)</f>
        <v>77</v>
      </c>
      <c r="M15" s="66">
        <f>SUM(Sheet1!O18)</f>
        <v>74</v>
      </c>
      <c r="N15" s="154">
        <f>SUM(Sheet1!P18)</f>
        <v>83</v>
      </c>
      <c r="O15" s="103">
        <f t="shared" si="0"/>
        <v>4031</v>
      </c>
    </row>
    <row r="16" spans="1:17" x14ac:dyDescent="0.25">
      <c r="A16" s="91"/>
      <c r="B16" s="12" t="s">
        <v>74</v>
      </c>
      <c r="C16" s="155">
        <f>SUM(Sheet1!E19)</f>
        <v>712</v>
      </c>
      <c r="D16" s="156">
        <f>SUM(Sheet1!F19)</f>
        <v>587</v>
      </c>
      <c r="E16" s="156">
        <f>SUM(Sheet1!G19)</f>
        <v>617</v>
      </c>
      <c r="F16" s="156">
        <f>SUM(Sheet1!H19)</f>
        <v>498</v>
      </c>
      <c r="G16" s="156">
        <f>SUM(Sheet1!I19)</f>
        <v>532</v>
      </c>
      <c r="H16" s="156">
        <f>SUM(Sheet1!J19)</f>
        <v>1631</v>
      </c>
      <c r="I16" s="156">
        <f>SUM(Sheet1!K19)</f>
        <v>640</v>
      </c>
      <c r="J16" s="156">
        <f>SUM(Sheet1!L19)</f>
        <v>16</v>
      </c>
      <c r="K16" s="156">
        <f>SUM(Sheet1!M19)</f>
        <v>2</v>
      </c>
      <c r="L16" s="156">
        <f>SUM(Sheet1!N19)</f>
        <v>0</v>
      </c>
      <c r="M16" s="156">
        <f>SUM(Sheet1!O19)</f>
        <v>122</v>
      </c>
      <c r="N16" s="157">
        <f>SUM(Sheet1!P19)</f>
        <v>19</v>
      </c>
      <c r="O16" s="103">
        <f t="shared" si="0"/>
        <v>5376</v>
      </c>
    </row>
    <row r="17" spans="1:17" x14ac:dyDescent="0.25">
      <c r="A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181" t="s">
        <v>39</v>
      </c>
      <c r="N17" s="181"/>
      <c r="O17" s="113">
        <f>SUM(O6:O16)</f>
        <v>21917</v>
      </c>
      <c r="P17" s="91"/>
      <c r="Q17" s="92"/>
    </row>
    <row r="18" spans="1:17" x14ac:dyDescent="0.25">
      <c r="A18" s="91"/>
      <c r="B18" s="72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73"/>
    </row>
  </sheetData>
  <mergeCells count="1">
    <mergeCell ref="M17:N1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78"/>
  <sheetViews>
    <sheetView workbookViewId="0">
      <selection activeCell="D16" sqref="D16"/>
    </sheetView>
  </sheetViews>
  <sheetFormatPr defaultRowHeight="16.5" x14ac:dyDescent="0.3"/>
  <cols>
    <col min="1" max="1" width="3.7109375" style="93" customWidth="1"/>
    <col min="2" max="2" width="5.7109375" style="93" customWidth="1"/>
    <col min="3" max="3" width="10.7109375" style="93" customWidth="1"/>
    <col min="4" max="4" width="6.7109375" style="93" customWidth="1"/>
    <col min="5" max="6" width="5.7109375" style="93" customWidth="1"/>
    <col min="7" max="7" width="5.85546875" style="93" customWidth="1"/>
    <col min="8" max="16" width="5.7109375" style="93" customWidth="1"/>
    <col min="17" max="17" width="8.28515625" style="93" customWidth="1"/>
    <col min="18" max="20" width="5.7109375" style="93" customWidth="1"/>
    <col min="21" max="21" width="10.85546875" style="93" customWidth="1"/>
    <col min="22" max="23" width="7.85546875" style="93" customWidth="1"/>
    <col min="24" max="24" width="9.140625" style="93"/>
    <col min="25" max="25" width="2.140625" style="93" customWidth="1"/>
    <col min="26" max="16384" width="9.140625" style="93"/>
  </cols>
  <sheetData>
    <row r="1" spans="2:39" ht="18.75" x14ac:dyDescent="0.3">
      <c r="B1" s="91"/>
      <c r="C1" s="91"/>
      <c r="D1" s="91"/>
      <c r="E1" s="91"/>
      <c r="F1" s="91"/>
      <c r="G1" s="67" t="s">
        <v>94</v>
      </c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</row>
    <row r="2" spans="2:39" x14ac:dyDescent="0.3">
      <c r="B2" s="91"/>
      <c r="C2" s="91"/>
      <c r="D2" s="91"/>
      <c r="E2" s="91"/>
      <c r="F2" s="91"/>
      <c r="G2" s="91"/>
      <c r="H2" s="68"/>
      <c r="I2" s="91"/>
      <c r="J2" s="97"/>
      <c r="K2" s="97"/>
      <c r="L2" s="91"/>
      <c r="M2" s="91"/>
      <c r="N2" s="91"/>
      <c r="O2" s="91"/>
      <c r="P2" s="91"/>
      <c r="Q2" s="91"/>
      <c r="R2" s="91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</row>
    <row r="3" spans="2:39" x14ac:dyDescent="0.3">
      <c r="B3" s="91"/>
      <c r="C3" s="66" t="s">
        <v>9</v>
      </c>
      <c r="D3" s="66" t="s">
        <v>10</v>
      </c>
      <c r="E3" s="69" t="s">
        <v>11</v>
      </c>
      <c r="F3" s="69" t="s">
        <v>11</v>
      </c>
      <c r="G3" s="69" t="s">
        <v>11</v>
      </c>
      <c r="H3" s="69" t="s">
        <v>10</v>
      </c>
      <c r="I3" s="69" t="s">
        <v>10</v>
      </c>
      <c r="J3" s="99" t="s">
        <v>8</v>
      </c>
      <c r="K3" s="99">
        <v>2022</v>
      </c>
      <c r="L3" s="69" t="s">
        <v>10</v>
      </c>
      <c r="M3" s="69" t="s">
        <v>10</v>
      </c>
      <c r="N3" s="69" t="s">
        <v>10</v>
      </c>
      <c r="O3" s="69" t="s">
        <v>10</v>
      </c>
      <c r="P3" s="69" t="s">
        <v>10</v>
      </c>
      <c r="Q3" s="69"/>
      <c r="R3" s="91"/>
      <c r="S3" s="92"/>
      <c r="T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</row>
    <row r="4" spans="2:39" ht="39" x14ac:dyDescent="0.3">
      <c r="B4" s="70"/>
      <c r="C4" s="70" t="s">
        <v>12</v>
      </c>
      <c r="D4" s="70" t="s">
        <v>11</v>
      </c>
      <c r="E4" s="98" t="s">
        <v>13</v>
      </c>
      <c r="F4" s="98" t="s">
        <v>14</v>
      </c>
      <c r="G4" s="98" t="s">
        <v>15</v>
      </c>
      <c r="H4" s="98" t="s">
        <v>16</v>
      </c>
      <c r="I4" s="98" t="s">
        <v>17</v>
      </c>
      <c r="J4" s="98" t="s">
        <v>18</v>
      </c>
      <c r="K4" s="98" t="s">
        <v>19</v>
      </c>
      <c r="L4" s="98" t="s">
        <v>20</v>
      </c>
      <c r="M4" s="98" t="s">
        <v>21</v>
      </c>
      <c r="N4" s="98" t="s">
        <v>22</v>
      </c>
      <c r="O4" s="98" t="s">
        <v>23</v>
      </c>
      <c r="P4" s="98" t="s">
        <v>24</v>
      </c>
      <c r="Q4" s="75" t="s">
        <v>25</v>
      </c>
      <c r="R4" s="70"/>
      <c r="S4" s="14"/>
      <c r="T4" s="14"/>
      <c r="U4" s="124"/>
      <c r="V4" s="12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</row>
    <row r="5" spans="2:39" x14ac:dyDescent="0.3">
      <c r="B5" s="71"/>
      <c r="C5" s="71"/>
      <c r="D5" s="71"/>
      <c r="E5" s="113">
        <f t="shared" ref="E5:P5" si="0">SUM(E6:E19)</f>
        <v>2414</v>
      </c>
      <c r="F5" s="113">
        <f t="shared" si="0"/>
        <v>1275</v>
      </c>
      <c r="G5" s="113">
        <f t="shared" si="0"/>
        <v>2869</v>
      </c>
      <c r="H5" s="113">
        <f t="shared" si="0"/>
        <v>3245</v>
      </c>
      <c r="I5" s="113">
        <f t="shared" si="0"/>
        <v>4373</v>
      </c>
      <c r="J5" s="113">
        <f t="shared" si="0"/>
        <v>2532</v>
      </c>
      <c r="K5" s="113">
        <f t="shared" si="0"/>
        <v>3747</v>
      </c>
      <c r="L5" s="113">
        <f t="shared" si="0"/>
        <v>173</v>
      </c>
      <c r="M5" s="113">
        <f t="shared" si="0"/>
        <v>64</v>
      </c>
      <c r="N5" s="113">
        <f t="shared" si="0"/>
        <v>80</v>
      </c>
      <c r="O5" s="113">
        <f t="shared" si="0"/>
        <v>894</v>
      </c>
      <c r="P5" s="113">
        <f t="shared" si="0"/>
        <v>251</v>
      </c>
      <c r="Q5" s="160">
        <f>SUM(E5:P5)</f>
        <v>21917</v>
      </c>
      <c r="R5" s="71"/>
      <c r="S5" s="15"/>
      <c r="T5" s="15"/>
      <c r="V5" s="13">
        <f>SUM(K3)</f>
        <v>2022</v>
      </c>
      <c r="W5" s="13">
        <f>SUM(B7)</f>
        <v>2023</v>
      </c>
      <c r="X5" s="135" t="s">
        <v>61</v>
      </c>
      <c r="Y5" s="15"/>
      <c r="AA5" s="13">
        <f>SUM(V5)</f>
        <v>2022</v>
      </c>
      <c r="AB5" s="13">
        <f>SUM(W5)</f>
        <v>2023</v>
      </c>
      <c r="AC5" s="135" t="s">
        <v>61</v>
      </c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2:39" x14ac:dyDescent="0.3">
      <c r="B6" s="100" t="s">
        <v>8</v>
      </c>
      <c r="C6" s="101" t="s">
        <v>26</v>
      </c>
      <c r="D6" s="167">
        <f>Sheet4!C5</f>
        <v>2175</v>
      </c>
      <c r="E6" s="167">
        <f>Sheet4!D5</f>
        <v>0</v>
      </c>
      <c r="F6" s="167">
        <f>Sheet4!E5</f>
        <v>0</v>
      </c>
      <c r="G6" s="167">
        <f>Sheet4!F5</f>
        <v>0</v>
      </c>
      <c r="H6" s="167">
        <f>Sheet4!G5</f>
        <v>0</v>
      </c>
      <c r="I6" s="167">
        <f>Sheet4!H5</f>
        <v>0</v>
      </c>
      <c r="J6" s="167">
        <f>Sheet4!I5</f>
        <v>351</v>
      </c>
      <c r="K6" s="167">
        <f>Sheet4!J5</f>
        <v>0</v>
      </c>
      <c r="L6" s="167">
        <f>Sheet4!K5</f>
        <v>0</v>
      </c>
      <c r="M6" s="167">
        <f>Sheet4!L5</f>
        <v>0</v>
      </c>
      <c r="N6" s="167">
        <f>Sheet4!M5</f>
        <v>0</v>
      </c>
      <c r="O6" s="167">
        <f>Sheet4!N5</f>
        <v>0</v>
      </c>
      <c r="P6" s="167">
        <f>Sheet4!O5</f>
        <v>0</v>
      </c>
      <c r="Q6" s="103">
        <f>SUM(D6:P6)</f>
        <v>2526</v>
      </c>
      <c r="R6" s="14"/>
      <c r="S6" s="92"/>
      <c r="T6" s="92"/>
      <c r="U6" s="101" t="s">
        <v>26</v>
      </c>
      <c r="V6" s="127">
        <f>SUM(E5)</f>
        <v>2414</v>
      </c>
      <c r="W6" s="128">
        <f t="shared" ref="W6:W17" si="1">SUM(Q6)</f>
        <v>2526</v>
      </c>
      <c r="X6" s="129">
        <f>SUM(W6-V6)</f>
        <v>112</v>
      </c>
      <c r="Y6" s="15"/>
      <c r="Z6" s="101" t="s">
        <v>19</v>
      </c>
      <c r="AA6" s="127">
        <f>SUM(V12)</f>
        <v>3747</v>
      </c>
      <c r="AB6" s="145">
        <f>SUM(W12)</f>
        <v>3520</v>
      </c>
      <c r="AC6" s="129">
        <f t="shared" ref="AC6:AC11" si="2">SUM(AB6-AA6)</f>
        <v>-227</v>
      </c>
      <c r="AD6" s="15"/>
      <c r="AE6" s="15"/>
      <c r="AF6" s="15"/>
      <c r="AG6" s="15"/>
      <c r="AH6" s="15"/>
      <c r="AI6" s="15"/>
      <c r="AJ6" s="15"/>
      <c r="AK6" s="15"/>
      <c r="AL6" s="15"/>
      <c r="AM6" s="17"/>
    </row>
    <row r="7" spans="2:39" x14ac:dyDescent="0.3">
      <c r="B7" s="100">
        <v>2023</v>
      </c>
      <c r="C7" s="101" t="s">
        <v>27</v>
      </c>
      <c r="D7" s="167">
        <f>Sheet4!C6</f>
        <v>550</v>
      </c>
      <c r="E7" s="167">
        <f>Sheet4!D6</f>
        <v>543</v>
      </c>
      <c r="F7" s="167">
        <f>Sheet4!E6</f>
        <v>93</v>
      </c>
      <c r="G7" s="167">
        <f>Sheet4!F6</f>
        <v>0</v>
      </c>
      <c r="H7" s="167">
        <f>Sheet4!G6</f>
        <v>0</v>
      </c>
      <c r="I7" s="167">
        <f>Sheet4!H6</f>
        <v>0</v>
      </c>
      <c r="J7" s="167">
        <f>Sheet4!I6</f>
        <v>0</v>
      </c>
      <c r="K7" s="167">
        <f>Sheet4!J6</f>
        <v>0</v>
      </c>
      <c r="L7" s="167">
        <f>Sheet4!K6</f>
        <v>0</v>
      </c>
      <c r="M7" s="167">
        <f>Sheet4!L6</f>
        <v>0</v>
      </c>
      <c r="N7" s="167">
        <f>Sheet4!M6</f>
        <v>0</v>
      </c>
      <c r="O7" s="167">
        <f>Sheet4!N6</f>
        <v>0</v>
      </c>
      <c r="P7" s="167">
        <f>Sheet4!O6</f>
        <v>0</v>
      </c>
      <c r="Q7" s="103">
        <f t="shared" ref="Q7:Q17" si="3">SUM(D7:P7)</f>
        <v>1186</v>
      </c>
      <c r="R7" s="14"/>
      <c r="S7" s="92"/>
      <c r="T7" s="92"/>
      <c r="U7" s="101" t="s">
        <v>27</v>
      </c>
      <c r="V7" s="130">
        <f>SUM(F5)</f>
        <v>1275</v>
      </c>
      <c r="W7" s="131">
        <f t="shared" si="1"/>
        <v>1186</v>
      </c>
      <c r="X7" s="132">
        <f t="shared" ref="X7:X18" si="4">SUM(W7-V7)</f>
        <v>-89</v>
      </c>
      <c r="Y7" s="15"/>
      <c r="Z7" s="101" t="s">
        <v>31</v>
      </c>
      <c r="AA7" s="130">
        <f t="shared" ref="AA7:AB7" si="5">SUM(V13)</f>
        <v>173</v>
      </c>
      <c r="AB7" s="92">
        <f t="shared" si="5"/>
        <v>83</v>
      </c>
      <c r="AC7" s="132">
        <f t="shared" si="2"/>
        <v>-90</v>
      </c>
      <c r="AD7" s="15"/>
      <c r="AE7" s="15"/>
      <c r="AF7" s="15"/>
      <c r="AG7" s="15"/>
      <c r="AH7" s="15"/>
      <c r="AI7" s="15"/>
      <c r="AJ7" s="15"/>
      <c r="AK7" s="15"/>
      <c r="AL7" s="15"/>
      <c r="AM7" s="17"/>
    </row>
    <row r="8" spans="2:39" x14ac:dyDescent="0.3">
      <c r="B8" s="102"/>
      <c r="C8" s="101" t="s">
        <v>28</v>
      </c>
      <c r="D8" s="167">
        <f>Sheet4!C7</f>
        <v>651</v>
      </c>
      <c r="E8" s="167">
        <f>Sheet4!D7</f>
        <v>1097</v>
      </c>
      <c r="F8" s="167">
        <f>Sheet4!E7</f>
        <v>529</v>
      </c>
      <c r="G8" s="167">
        <f>Sheet4!F7</f>
        <v>407</v>
      </c>
      <c r="H8" s="167">
        <f>Sheet4!G7</f>
        <v>0</v>
      </c>
      <c r="I8" s="167">
        <f>Sheet4!H7</f>
        <v>0</v>
      </c>
      <c r="J8" s="167">
        <f>Sheet4!I7</f>
        <v>1</v>
      </c>
      <c r="K8" s="167">
        <f>Sheet4!J7</f>
        <v>0</v>
      </c>
      <c r="L8" s="167">
        <f>Sheet4!K7</f>
        <v>0</v>
      </c>
      <c r="M8" s="167">
        <f>Sheet4!L7</f>
        <v>0</v>
      </c>
      <c r="N8" s="167">
        <f>Sheet4!M7</f>
        <v>0</v>
      </c>
      <c r="O8" s="167">
        <f>Sheet4!N7</f>
        <v>0</v>
      </c>
      <c r="P8" s="167">
        <f>Sheet4!O7</f>
        <v>0</v>
      </c>
      <c r="Q8" s="103">
        <f t="shared" si="3"/>
        <v>2685</v>
      </c>
      <c r="R8" s="14"/>
      <c r="S8" s="92"/>
      <c r="T8" s="92"/>
      <c r="U8" s="101" t="s">
        <v>28</v>
      </c>
      <c r="V8" s="130">
        <f>SUM(G5)</f>
        <v>2869</v>
      </c>
      <c r="W8" s="131">
        <f t="shared" si="1"/>
        <v>2685</v>
      </c>
      <c r="X8" s="132">
        <f t="shared" si="4"/>
        <v>-184</v>
      </c>
      <c r="Y8" s="15"/>
      <c r="Z8" s="101" t="s">
        <v>32</v>
      </c>
      <c r="AA8" s="130">
        <f t="shared" ref="AA8:AB8" si="6">SUM(V14)</f>
        <v>64</v>
      </c>
      <c r="AB8" s="92">
        <f t="shared" si="6"/>
        <v>105</v>
      </c>
      <c r="AC8" s="132">
        <f t="shared" si="2"/>
        <v>41</v>
      </c>
      <c r="AD8" s="15"/>
      <c r="AE8" s="15"/>
      <c r="AF8" s="15"/>
      <c r="AG8" s="15"/>
      <c r="AH8" s="15"/>
      <c r="AI8" s="15"/>
      <c r="AJ8" s="15"/>
      <c r="AK8" s="15"/>
      <c r="AL8" s="15"/>
      <c r="AM8" s="17"/>
    </row>
    <row r="9" spans="2:39" x14ac:dyDescent="0.3">
      <c r="B9" s="102"/>
      <c r="C9" s="101" t="s">
        <v>29</v>
      </c>
      <c r="D9" s="167">
        <f>Sheet4!C8</f>
        <v>820</v>
      </c>
      <c r="E9" s="167">
        <f>Sheet4!D8</f>
        <v>59</v>
      </c>
      <c r="F9" s="167">
        <f>Sheet4!E8</f>
        <v>66</v>
      </c>
      <c r="G9" s="167">
        <f>Sheet4!F8</f>
        <v>1703</v>
      </c>
      <c r="H9" s="167">
        <f>Sheet4!G8</f>
        <v>450</v>
      </c>
      <c r="I9" s="167">
        <f>Sheet4!H8</f>
        <v>1</v>
      </c>
      <c r="J9" s="167">
        <f>Sheet4!I8</f>
        <v>0</v>
      </c>
      <c r="K9" s="167">
        <f>Sheet4!J8</f>
        <v>0</v>
      </c>
      <c r="L9" s="167">
        <f>Sheet4!K8</f>
        <v>0</v>
      </c>
      <c r="M9" s="167">
        <f>Sheet4!L8</f>
        <v>0</v>
      </c>
      <c r="N9" s="167">
        <f>Sheet4!M8</f>
        <v>0</v>
      </c>
      <c r="O9" s="167">
        <f>Sheet4!N8</f>
        <v>0</v>
      </c>
      <c r="P9" s="167">
        <f>Sheet4!O8</f>
        <v>0</v>
      </c>
      <c r="Q9" s="103">
        <f t="shared" si="3"/>
        <v>3099</v>
      </c>
      <c r="R9" s="14"/>
      <c r="S9" s="92"/>
      <c r="T9" s="92"/>
      <c r="U9" s="101" t="s">
        <v>29</v>
      </c>
      <c r="V9" s="130">
        <f>SUM(H5)</f>
        <v>3245</v>
      </c>
      <c r="W9" s="131">
        <f t="shared" si="1"/>
        <v>3099</v>
      </c>
      <c r="X9" s="132">
        <f t="shared" si="4"/>
        <v>-146</v>
      </c>
      <c r="Y9" s="15"/>
      <c r="Z9" s="101" t="s">
        <v>33</v>
      </c>
      <c r="AA9" s="130">
        <f t="shared" ref="AA9:AB9" si="7">SUM(V15)</f>
        <v>80</v>
      </c>
      <c r="AB9" s="92">
        <f t="shared" si="7"/>
        <v>95</v>
      </c>
      <c r="AC9" s="132">
        <f t="shared" si="2"/>
        <v>15</v>
      </c>
      <c r="AD9" s="15"/>
      <c r="AE9" s="15"/>
      <c r="AF9" s="15"/>
      <c r="AG9" s="15"/>
      <c r="AH9" s="15"/>
      <c r="AI9" s="15"/>
      <c r="AJ9" s="15"/>
      <c r="AK9" s="15"/>
      <c r="AL9" s="15"/>
      <c r="AM9" s="17"/>
    </row>
    <row r="10" spans="2:39" x14ac:dyDescent="0.3">
      <c r="B10" s="102"/>
      <c r="C10" s="101" t="s">
        <v>30</v>
      </c>
      <c r="D10" s="167">
        <f>Sheet4!C9</f>
        <v>642</v>
      </c>
      <c r="E10" s="167">
        <f>Sheet4!D9</f>
        <v>3</v>
      </c>
      <c r="F10" s="167">
        <f>Sheet4!E9</f>
        <v>0</v>
      </c>
      <c r="G10" s="167">
        <f>Sheet4!F9</f>
        <v>140</v>
      </c>
      <c r="H10" s="167">
        <f>Sheet4!G9</f>
        <v>2090</v>
      </c>
      <c r="I10" s="167">
        <f>Sheet4!H9</f>
        <v>1263</v>
      </c>
      <c r="J10" s="167">
        <f>Sheet4!I9</f>
        <v>6</v>
      </c>
      <c r="K10" s="167">
        <f>Sheet4!J9</f>
        <v>0</v>
      </c>
      <c r="L10" s="167">
        <f>Sheet4!K9</f>
        <v>0</v>
      </c>
      <c r="M10" s="167">
        <f>Sheet4!L9</f>
        <v>0</v>
      </c>
      <c r="N10" s="167">
        <f>Sheet4!M9</f>
        <v>0</v>
      </c>
      <c r="O10" s="167">
        <f>Sheet4!N9</f>
        <v>0</v>
      </c>
      <c r="P10" s="167">
        <f>Sheet4!O9</f>
        <v>0</v>
      </c>
      <c r="Q10" s="103">
        <f t="shared" si="3"/>
        <v>4144</v>
      </c>
      <c r="R10" s="14"/>
      <c r="S10" s="92"/>
      <c r="T10" s="92"/>
      <c r="U10" s="101" t="s">
        <v>30</v>
      </c>
      <c r="V10" s="130">
        <f>SUM(I5)</f>
        <v>4373</v>
      </c>
      <c r="W10" s="131">
        <f t="shared" si="1"/>
        <v>4144</v>
      </c>
      <c r="X10" s="132">
        <f t="shared" si="4"/>
        <v>-229</v>
      </c>
      <c r="Y10" s="15"/>
      <c r="Z10" s="101" t="s">
        <v>34</v>
      </c>
      <c r="AA10" s="130">
        <f t="shared" ref="AA10:AB10" si="8">SUM(V16)</f>
        <v>894</v>
      </c>
      <c r="AB10" s="92">
        <f t="shared" si="8"/>
        <v>871</v>
      </c>
      <c r="AC10" s="132">
        <f t="shared" si="2"/>
        <v>-23</v>
      </c>
      <c r="AD10" s="15"/>
      <c r="AE10" s="15"/>
      <c r="AF10" s="15"/>
      <c r="AG10" s="15"/>
      <c r="AH10" s="15"/>
      <c r="AI10" s="15"/>
      <c r="AJ10" s="15"/>
      <c r="AK10" s="15"/>
      <c r="AL10" s="15"/>
      <c r="AM10" s="17"/>
    </row>
    <row r="11" spans="2:39" x14ac:dyDescent="0.3">
      <c r="B11" s="102"/>
      <c r="C11" s="101" t="s">
        <v>18</v>
      </c>
      <c r="D11" s="167">
        <f>Sheet4!C10</f>
        <v>2572</v>
      </c>
      <c r="E11" s="167">
        <f>Sheet4!D10</f>
        <v>0</v>
      </c>
      <c r="F11" s="167">
        <f>Sheet4!E10</f>
        <v>0</v>
      </c>
      <c r="G11" s="167">
        <f>Sheet4!F10</f>
        <v>1</v>
      </c>
      <c r="H11" s="167">
        <f>Sheet4!G10</f>
        <v>0</v>
      </c>
      <c r="I11" s="167">
        <f>Sheet4!H10</f>
        <v>16</v>
      </c>
      <c r="J11" s="167">
        <f>Sheet4!I10</f>
        <v>538</v>
      </c>
      <c r="K11" s="167">
        <f>Sheet4!J10</f>
        <v>4</v>
      </c>
      <c r="L11" s="167">
        <f>Sheet4!K10</f>
        <v>0</v>
      </c>
      <c r="M11" s="167">
        <f>Sheet4!L10</f>
        <v>0</v>
      </c>
      <c r="N11" s="167">
        <f>Sheet4!M10</f>
        <v>0</v>
      </c>
      <c r="O11" s="167">
        <f>Sheet4!N10</f>
        <v>0</v>
      </c>
      <c r="P11" s="167">
        <f>Sheet4!O10</f>
        <v>0</v>
      </c>
      <c r="Q11" s="103">
        <f t="shared" si="3"/>
        <v>3131</v>
      </c>
      <c r="R11" s="14"/>
      <c r="S11" s="92"/>
      <c r="T11" s="92"/>
      <c r="U11" s="101" t="s">
        <v>18</v>
      </c>
      <c r="V11" s="130">
        <f>SUM(J5)</f>
        <v>2532</v>
      </c>
      <c r="W11" s="131">
        <f t="shared" si="1"/>
        <v>3131</v>
      </c>
      <c r="X11" s="132">
        <f t="shared" si="4"/>
        <v>599</v>
      </c>
      <c r="Y11" s="15"/>
      <c r="Z11" s="101" t="s">
        <v>35</v>
      </c>
      <c r="AA11" s="133">
        <f t="shared" ref="AA11:AB11" si="9">SUM(V17)</f>
        <v>251</v>
      </c>
      <c r="AB11" s="146">
        <f t="shared" si="9"/>
        <v>291</v>
      </c>
      <c r="AC11" s="134">
        <f t="shared" si="2"/>
        <v>40</v>
      </c>
      <c r="AD11" s="15"/>
      <c r="AE11" s="15"/>
      <c r="AF11" s="15"/>
      <c r="AG11" s="15"/>
      <c r="AH11" s="15"/>
      <c r="AI11" s="15"/>
      <c r="AJ11" s="15"/>
      <c r="AK11" s="15"/>
      <c r="AL11" s="15"/>
      <c r="AM11" s="17"/>
    </row>
    <row r="12" spans="2:39" x14ac:dyDescent="0.3">
      <c r="B12" s="102"/>
      <c r="C12" s="101" t="s">
        <v>19</v>
      </c>
      <c r="D12" s="167">
        <f>Sheet4!C11</f>
        <v>1464</v>
      </c>
      <c r="E12" s="167">
        <f>Sheet4!D11</f>
        <v>0</v>
      </c>
      <c r="F12" s="167">
        <f>Sheet4!E11</f>
        <v>0</v>
      </c>
      <c r="G12" s="167">
        <f>Sheet4!F11</f>
        <v>0</v>
      </c>
      <c r="H12" s="167">
        <f>Sheet4!G11</f>
        <v>8</v>
      </c>
      <c r="I12" s="167">
        <f>Sheet4!H11</f>
        <v>208</v>
      </c>
      <c r="J12" s="167">
        <f>Sheet4!I11</f>
        <v>5</v>
      </c>
      <c r="K12" s="167">
        <f>Sheet4!J11</f>
        <v>1831</v>
      </c>
      <c r="L12" s="167">
        <f>Sheet4!K11</f>
        <v>0</v>
      </c>
      <c r="M12" s="167">
        <f>Sheet4!L11</f>
        <v>0</v>
      </c>
      <c r="N12" s="167">
        <f>Sheet4!M11</f>
        <v>0</v>
      </c>
      <c r="O12" s="167">
        <f>Sheet4!N11</f>
        <v>3</v>
      </c>
      <c r="P12" s="167">
        <f>Sheet4!O11</f>
        <v>1</v>
      </c>
      <c r="Q12" s="103">
        <f t="shared" si="3"/>
        <v>3520</v>
      </c>
      <c r="R12" s="14"/>
      <c r="S12" s="92"/>
      <c r="T12" s="92"/>
      <c r="U12" s="101" t="s">
        <v>19</v>
      </c>
      <c r="V12" s="130">
        <f>SUM(K5)</f>
        <v>3747</v>
      </c>
      <c r="W12" s="131">
        <f t="shared" si="1"/>
        <v>3520</v>
      </c>
      <c r="X12" s="132">
        <f t="shared" si="4"/>
        <v>-227</v>
      </c>
      <c r="Y12" s="15"/>
      <c r="AA12" s="92">
        <f>SUM(AA6:AA11)</f>
        <v>5209</v>
      </c>
      <c r="AB12" s="92">
        <f>SUM(AB6:AB11)</f>
        <v>4965</v>
      </c>
      <c r="AC12" s="126">
        <f>SUM(AC6:AC11)</f>
        <v>-244</v>
      </c>
      <c r="AD12" s="15"/>
      <c r="AE12" s="15"/>
      <c r="AF12" s="15"/>
      <c r="AG12" s="15"/>
      <c r="AH12" s="15"/>
      <c r="AI12" s="15"/>
      <c r="AJ12" s="15"/>
      <c r="AK12" s="15"/>
      <c r="AL12" s="15"/>
      <c r="AM12" s="17"/>
    </row>
    <row r="13" spans="2:39" x14ac:dyDescent="0.3">
      <c r="B13" s="102"/>
      <c r="C13" s="101" t="s">
        <v>31</v>
      </c>
      <c r="D13" s="167">
        <f>Sheet4!C12</f>
        <v>73</v>
      </c>
      <c r="E13" s="167">
        <f>Sheet4!D12</f>
        <v>0</v>
      </c>
      <c r="F13" s="167">
        <f>Sheet4!E12</f>
        <v>0</v>
      </c>
      <c r="G13" s="167">
        <f>Sheet4!F12</f>
        <v>0</v>
      </c>
      <c r="H13" s="167">
        <f>Sheet4!G12</f>
        <v>1</v>
      </c>
      <c r="I13" s="167">
        <f>Sheet4!H12</f>
        <v>2</v>
      </c>
      <c r="J13" s="167">
        <f>Sheet4!I12</f>
        <v>0</v>
      </c>
      <c r="K13" s="167">
        <f>Sheet4!J12</f>
        <v>0</v>
      </c>
      <c r="L13" s="167">
        <f>Sheet4!K12</f>
        <v>7</v>
      </c>
      <c r="M13" s="167">
        <f>Sheet4!L12</f>
        <v>0</v>
      </c>
      <c r="N13" s="167">
        <f>Sheet4!M12</f>
        <v>0</v>
      </c>
      <c r="O13" s="167">
        <f>Sheet4!N12</f>
        <v>0</v>
      </c>
      <c r="P13" s="167">
        <f>Sheet4!O12</f>
        <v>0</v>
      </c>
      <c r="Q13" s="103">
        <f t="shared" si="3"/>
        <v>83</v>
      </c>
      <c r="R13" s="14"/>
      <c r="S13" s="92"/>
      <c r="T13" s="92"/>
      <c r="U13" s="101" t="s">
        <v>31</v>
      </c>
      <c r="V13" s="130">
        <f>SUM(L5)</f>
        <v>173</v>
      </c>
      <c r="W13" s="131">
        <f t="shared" si="1"/>
        <v>83</v>
      </c>
      <c r="X13" s="132">
        <f t="shared" si="4"/>
        <v>-90</v>
      </c>
      <c r="Y13" s="15"/>
      <c r="Z13" s="15"/>
      <c r="AA13" s="15"/>
      <c r="AB13" s="15"/>
      <c r="AC13" s="15" t="s">
        <v>11</v>
      </c>
      <c r="AD13" s="15"/>
      <c r="AE13" s="15"/>
      <c r="AF13" s="15"/>
      <c r="AG13" s="15"/>
      <c r="AH13" s="15"/>
      <c r="AI13" s="15"/>
      <c r="AJ13" s="15"/>
      <c r="AK13" s="15"/>
      <c r="AL13" s="15"/>
      <c r="AM13" s="17"/>
    </row>
    <row r="14" spans="2:39" x14ac:dyDescent="0.3">
      <c r="B14" s="102"/>
      <c r="C14" s="101" t="s">
        <v>32</v>
      </c>
      <c r="D14" s="167">
        <f>Sheet4!C13</f>
        <v>0</v>
      </c>
      <c r="E14" s="167">
        <f>Sheet4!D13</f>
        <v>0</v>
      </c>
      <c r="F14" s="167">
        <f>Sheet4!E13</f>
        <v>0</v>
      </c>
      <c r="G14" s="167">
        <f>Sheet4!F13</f>
        <v>0</v>
      </c>
      <c r="H14" s="167">
        <f>Sheet4!G13</f>
        <v>0</v>
      </c>
      <c r="I14" s="167">
        <f>Sheet4!H13</f>
        <v>1</v>
      </c>
      <c r="J14" s="167">
        <f>Sheet4!I13</f>
        <v>0</v>
      </c>
      <c r="K14" s="167">
        <f>Sheet4!J13</f>
        <v>0</v>
      </c>
      <c r="L14" s="167">
        <f>Sheet4!K13</f>
        <v>103</v>
      </c>
      <c r="M14" s="167">
        <f>Sheet4!L13</f>
        <v>1</v>
      </c>
      <c r="N14" s="167">
        <f>Sheet4!M13</f>
        <v>0</v>
      </c>
      <c r="O14" s="167">
        <f>Sheet4!N13</f>
        <v>0</v>
      </c>
      <c r="P14" s="167">
        <f>Sheet4!O13</f>
        <v>0</v>
      </c>
      <c r="Q14" s="103">
        <f t="shared" si="3"/>
        <v>105</v>
      </c>
      <c r="R14" s="14"/>
      <c r="S14" s="92"/>
      <c r="T14" s="92"/>
      <c r="U14" s="101" t="s">
        <v>32</v>
      </c>
      <c r="V14" s="130">
        <f>SUM(M5)</f>
        <v>64</v>
      </c>
      <c r="W14" s="131">
        <f t="shared" si="1"/>
        <v>105</v>
      </c>
      <c r="X14" s="132">
        <f t="shared" si="4"/>
        <v>41</v>
      </c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7"/>
    </row>
    <row r="15" spans="2:39" x14ac:dyDescent="0.3">
      <c r="B15" s="102"/>
      <c r="C15" s="101" t="s">
        <v>33</v>
      </c>
      <c r="D15" s="167">
        <f>Sheet4!C14</f>
        <v>1</v>
      </c>
      <c r="E15" s="167">
        <f>Sheet4!D14</f>
        <v>0</v>
      </c>
      <c r="F15" s="167">
        <f>Sheet4!E14</f>
        <v>0</v>
      </c>
      <c r="G15" s="167">
        <f>Sheet4!F14</f>
        <v>0</v>
      </c>
      <c r="H15" s="167">
        <f>Sheet4!G14</f>
        <v>0</v>
      </c>
      <c r="I15" s="167">
        <f>Sheet4!H14</f>
        <v>0</v>
      </c>
      <c r="J15" s="167">
        <f>Sheet4!I14</f>
        <v>0</v>
      </c>
      <c r="K15" s="167">
        <f>Sheet4!J14</f>
        <v>0</v>
      </c>
      <c r="L15" s="167">
        <f>Sheet4!K14</f>
        <v>47</v>
      </c>
      <c r="M15" s="167">
        <f>Sheet4!L14</f>
        <v>44</v>
      </c>
      <c r="N15" s="167">
        <f>Sheet4!M14</f>
        <v>3</v>
      </c>
      <c r="O15" s="167">
        <f>Sheet4!N14</f>
        <v>0</v>
      </c>
      <c r="P15" s="167">
        <f>Sheet4!O14</f>
        <v>0</v>
      </c>
      <c r="Q15" s="103">
        <f t="shared" si="3"/>
        <v>95</v>
      </c>
      <c r="R15" s="14"/>
      <c r="S15" s="92"/>
      <c r="T15" s="92"/>
      <c r="U15" s="101" t="s">
        <v>33</v>
      </c>
      <c r="V15" s="130">
        <f>SUM(N5)</f>
        <v>80</v>
      </c>
      <c r="W15" s="131">
        <f t="shared" si="1"/>
        <v>95</v>
      </c>
      <c r="X15" s="132">
        <f t="shared" si="4"/>
        <v>15</v>
      </c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7"/>
    </row>
    <row r="16" spans="2:39" x14ac:dyDescent="0.3">
      <c r="B16" s="102"/>
      <c r="C16" s="101" t="s">
        <v>34</v>
      </c>
      <c r="D16" s="167">
        <f>Sheet4!C15</f>
        <v>267</v>
      </c>
      <c r="E16" s="167">
        <f>Sheet4!D15</f>
        <v>0</v>
      </c>
      <c r="F16" s="167">
        <f>Sheet4!E15</f>
        <v>0</v>
      </c>
      <c r="G16" s="167">
        <f>Sheet4!F15</f>
        <v>0</v>
      </c>
      <c r="H16" s="167">
        <f>Sheet4!G15</f>
        <v>0</v>
      </c>
      <c r="I16" s="167">
        <f>Sheet4!H15</f>
        <v>9</v>
      </c>
      <c r="J16" s="167">
        <f>Sheet4!I15</f>
        <v>0</v>
      </c>
      <c r="K16" s="167">
        <f>Sheet4!J15</f>
        <v>31</v>
      </c>
      <c r="L16" s="167">
        <f>Sheet4!K15</f>
        <v>0</v>
      </c>
      <c r="M16" s="167">
        <f>Sheet4!L15</f>
        <v>0</v>
      </c>
      <c r="N16" s="167">
        <f>Sheet4!M15</f>
        <v>0</v>
      </c>
      <c r="O16" s="167">
        <f>Sheet4!N15</f>
        <v>561</v>
      </c>
      <c r="P16" s="167">
        <f>Sheet4!O15</f>
        <v>3</v>
      </c>
      <c r="Q16" s="103">
        <f t="shared" si="3"/>
        <v>871</v>
      </c>
      <c r="R16" s="14"/>
      <c r="S16" s="92"/>
      <c r="T16" s="92"/>
      <c r="U16" s="101" t="s">
        <v>34</v>
      </c>
      <c r="V16" s="130">
        <f>SUM(O5)</f>
        <v>894</v>
      </c>
      <c r="W16" s="131">
        <f t="shared" si="1"/>
        <v>871</v>
      </c>
      <c r="X16" s="132">
        <f t="shared" si="4"/>
        <v>-23</v>
      </c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7"/>
    </row>
    <row r="17" spans="2:39" x14ac:dyDescent="0.3">
      <c r="B17" s="102"/>
      <c r="C17" s="101" t="s">
        <v>35</v>
      </c>
      <c r="D17" s="167">
        <f>Sheet4!C16</f>
        <v>11</v>
      </c>
      <c r="E17" s="167">
        <f>Sheet4!D16</f>
        <v>0</v>
      </c>
      <c r="F17" s="167">
        <f>Sheet4!E16</f>
        <v>0</v>
      </c>
      <c r="G17" s="167">
        <f>Sheet4!F16</f>
        <v>0</v>
      </c>
      <c r="H17" s="167">
        <f>Sheet4!G16</f>
        <v>0</v>
      </c>
      <c r="I17" s="167">
        <f>Sheet4!H16</f>
        <v>0</v>
      </c>
      <c r="J17" s="167">
        <f>Sheet4!I16</f>
        <v>0</v>
      </c>
      <c r="K17" s="167">
        <f>Sheet4!J16</f>
        <v>1</v>
      </c>
      <c r="L17" s="167">
        <f>Sheet4!K16</f>
        <v>0</v>
      </c>
      <c r="M17" s="167">
        <f>Sheet4!L16</f>
        <v>0</v>
      </c>
      <c r="N17" s="167">
        <f>Sheet4!M16</f>
        <v>0</v>
      </c>
      <c r="O17" s="167">
        <f>Sheet4!N16</f>
        <v>134</v>
      </c>
      <c r="P17" s="167">
        <f>Sheet4!O16</f>
        <v>145</v>
      </c>
      <c r="Q17" s="103">
        <f t="shared" si="3"/>
        <v>291</v>
      </c>
      <c r="R17" s="14"/>
      <c r="S17" s="92"/>
      <c r="T17" s="92"/>
      <c r="U17" s="101" t="s">
        <v>35</v>
      </c>
      <c r="V17" s="133">
        <f>SUM(P5)</f>
        <v>251</v>
      </c>
      <c r="W17" s="125">
        <f t="shared" si="1"/>
        <v>291</v>
      </c>
      <c r="X17" s="134">
        <f t="shared" si="4"/>
        <v>40</v>
      </c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7"/>
    </row>
    <row r="18" spans="2:39" ht="15" customHeight="1" x14ac:dyDescent="0.3">
      <c r="B18" s="91"/>
      <c r="C18" s="12" t="s">
        <v>36</v>
      </c>
      <c r="D18" s="167">
        <f>Sheet4!C17</f>
        <v>0</v>
      </c>
      <c r="E18" s="167">
        <f>Sheet4!D17</f>
        <v>0</v>
      </c>
      <c r="F18" s="167">
        <f>Sheet4!E17</f>
        <v>0</v>
      </c>
      <c r="G18" s="167">
        <f>Sheet4!F17</f>
        <v>1</v>
      </c>
      <c r="H18" s="167">
        <f>Sheet4!G17</f>
        <v>198</v>
      </c>
      <c r="I18" s="167">
        <f>Sheet4!H17</f>
        <v>2341</v>
      </c>
      <c r="J18" s="167">
        <f>Sheet4!I17</f>
        <v>0</v>
      </c>
      <c r="K18" s="167">
        <f>Sheet4!J17</f>
        <v>1240</v>
      </c>
      <c r="L18" s="167">
        <f>Sheet4!K17</f>
        <v>0</v>
      </c>
      <c r="M18" s="167">
        <f>Sheet4!L17</f>
        <v>17</v>
      </c>
      <c r="N18" s="167">
        <f>Sheet4!M17</f>
        <v>77</v>
      </c>
      <c r="O18" s="167">
        <f>Sheet4!N17</f>
        <v>74</v>
      </c>
      <c r="P18" s="167">
        <f>Sheet4!O17</f>
        <v>83</v>
      </c>
      <c r="Q18" s="161"/>
      <c r="R18" s="66">
        <f>SUM(E18:P18)</f>
        <v>4031</v>
      </c>
      <c r="S18" s="140">
        <v>0.14399999999999999</v>
      </c>
      <c r="T18" s="92"/>
      <c r="V18" s="92">
        <f>SUM(V6:V17)</f>
        <v>21917</v>
      </c>
      <c r="W18" s="92">
        <f>SUM(W6:W17)</f>
        <v>21736</v>
      </c>
      <c r="X18" s="126">
        <f t="shared" si="4"/>
        <v>-181</v>
      </c>
      <c r="Y18" s="15"/>
      <c r="Z18" s="159" t="s">
        <v>11</v>
      </c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7"/>
    </row>
    <row r="19" spans="2:39" x14ac:dyDescent="0.3">
      <c r="B19" s="91"/>
      <c r="C19" s="12" t="s">
        <v>37</v>
      </c>
      <c r="D19" s="167">
        <f>Sheet4!C18</f>
        <v>0</v>
      </c>
      <c r="E19" s="167">
        <f>Sheet4!D18</f>
        <v>712</v>
      </c>
      <c r="F19" s="167">
        <f>Sheet4!E18</f>
        <v>587</v>
      </c>
      <c r="G19" s="167">
        <f>Sheet4!F18</f>
        <v>617</v>
      </c>
      <c r="H19" s="167">
        <f>Sheet4!G18</f>
        <v>498</v>
      </c>
      <c r="I19" s="167">
        <f>Sheet4!H18</f>
        <v>532</v>
      </c>
      <c r="J19" s="167">
        <f>Sheet4!I18</f>
        <v>1631</v>
      </c>
      <c r="K19" s="167">
        <f>Sheet4!J18</f>
        <v>640</v>
      </c>
      <c r="L19" s="167">
        <f>Sheet4!K18</f>
        <v>16</v>
      </c>
      <c r="M19" s="167">
        <f>Sheet4!L18</f>
        <v>2</v>
      </c>
      <c r="N19" s="167">
        <f>Sheet4!M18</f>
        <v>0</v>
      </c>
      <c r="O19" s="167">
        <f>Sheet4!N18</f>
        <v>122</v>
      </c>
      <c r="P19" s="167">
        <f>Sheet4!O18</f>
        <v>19</v>
      </c>
      <c r="Q19" s="161"/>
      <c r="R19" s="66">
        <f>SUM(E19:P19)</f>
        <v>5376</v>
      </c>
      <c r="S19" s="140">
        <v>0.251</v>
      </c>
      <c r="T19" s="92"/>
      <c r="U19" s="12" t="s">
        <v>11</v>
      </c>
      <c r="V19" s="16" t="s">
        <v>11</v>
      </c>
      <c r="W19" s="15"/>
      <c r="X19" s="158">
        <f>SUM(X18/V18)</f>
        <v>-8.2584295295889034E-3</v>
      </c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7"/>
    </row>
    <row r="20" spans="2:39" x14ac:dyDescent="0.3">
      <c r="B20" s="91"/>
      <c r="C20" s="72" t="s">
        <v>38</v>
      </c>
      <c r="D20" s="162">
        <f>SUM(D6:D19)</f>
        <v>9226</v>
      </c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181" t="s">
        <v>39</v>
      </c>
      <c r="P20" s="181"/>
      <c r="Q20" s="161">
        <f>SUM(Q6:Q17)</f>
        <v>21736</v>
      </c>
      <c r="R20" s="91"/>
      <c r="S20" s="92"/>
      <c r="T20" s="92"/>
      <c r="U20" s="12" t="s">
        <v>11</v>
      </c>
      <c r="V20" s="15" t="s">
        <v>11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92"/>
    </row>
    <row r="21" spans="2:39" x14ac:dyDescent="0.3">
      <c r="B21" s="91"/>
      <c r="C21" s="72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73"/>
      <c r="P21" s="181" t="s">
        <v>40</v>
      </c>
      <c r="Q21" s="181"/>
      <c r="R21" s="66">
        <f>SUM(R18:R19)</f>
        <v>9407</v>
      </c>
      <c r="S21" s="140">
        <v>0.39400000000000002</v>
      </c>
      <c r="T21" s="92"/>
      <c r="U21" s="149"/>
      <c r="V21" s="149" t="s">
        <v>66</v>
      </c>
      <c r="W21" s="149"/>
      <c r="X21" s="149" t="s">
        <v>67</v>
      </c>
      <c r="Y21" s="131"/>
      <c r="Z21" s="131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92"/>
    </row>
    <row r="22" spans="2:39" s="108" customFormat="1" ht="15" customHeight="1" x14ac:dyDescent="0.3">
      <c r="B22" s="103"/>
      <c r="C22" s="163"/>
      <c r="D22" s="164" t="s">
        <v>41</v>
      </c>
      <c r="E22" s="165">
        <f t="shared" ref="E22:P22" si="10">SUM(E6:E18)/E5</f>
        <v>0.70505385252692632</v>
      </c>
      <c r="F22" s="165">
        <f t="shared" si="10"/>
        <v>0.53960784313725485</v>
      </c>
      <c r="G22" s="165">
        <f t="shared" si="10"/>
        <v>0.78494248867201111</v>
      </c>
      <c r="H22" s="165">
        <f t="shared" si="10"/>
        <v>0.8465331278890601</v>
      </c>
      <c r="I22" s="165">
        <f t="shared" si="10"/>
        <v>0.87834438600503084</v>
      </c>
      <c r="J22" s="165">
        <f t="shared" si="10"/>
        <v>0.35584518167456558</v>
      </c>
      <c r="K22" s="165">
        <f t="shared" si="10"/>
        <v>0.82919669068588209</v>
      </c>
      <c r="L22" s="165">
        <f t="shared" si="10"/>
        <v>0.90751445086705207</v>
      </c>
      <c r="M22" s="165">
        <f t="shared" si="10"/>
        <v>0.96875</v>
      </c>
      <c r="N22" s="165">
        <f t="shared" si="10"/>
        <v>1</v>
      </c>
      <c r="O22" s="165">
        <f t="shared" si="10"/>
        <v>0.86353467561521258</v>
      </c>
      <c r="P22" s="165">
        <f t="shared" si="10"/>
        <v>0.92430278884462147</v>
      </c>
      <c r="Q22" s="165">
        <f>SUM(E6:P18)/Q5</f>
        <v>0.75471095496646434</v>
      </c>
      <c r="R22" s="163"/>
      <c r="S22" s="106"/>
      <c r="T22" s="106"/>
      <c r="U22" s="149" t="s">
        <v>63</v>
      </c>
      <c r="V22" s="149">
        <f>SUM(K18:P18)</f>
        <v>1491</v>
      </c>
      <c r="W22" s="149"/>
      <c r="X22" s="91">
        <f>SUM(D12:D17)</f>
        <v>1816</v>
      </c>
      <c r="Y22" s="131"/>
      <c r="Z22" s="131" t="s">
        <v>68</v>
      </c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06"/>
    </row>
    <row r="23" spans="2:39" ht="15" customHeight="1" x14ac:dyDescent="0.3">
      <c r="B23" s="92"/>
      <c r="C23" s="18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149" t="s">
        <v>64</v>
      </c>
      <c r="V23" s="149">
        <f>SUM(K19:P19)</f>
        <v>799</v>
      </c>
      <c r="W23" s="149"/>
      <c r="X23" s="149">
        <f>SUM(E12:J17)</f>
        <v>234</v>
      </c>
      <c r="Y23" s="131"/>
      <c r="Z23" s="131" t="s">
        <v>69</v>
      </c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92"/>
    </row>
    <row r="24" spans="2:39" x14ac:dyDescent="0.3">
      <c r="B24" s="19" t="s">
        <v>42</v>
      </c>
      <c r="C24" s="20"/>
      <c r="D24" s="13"/>
      <c r="E24" s="13"/>
      <c r="F24" s="92"/>
      <c r="G24" s="21">
        <f>SUM(Sheet3!M9)</f>
        <v>0</v>
      </c>
      <c r="H24" s="92"/>
      <c r="I24" s="92"/>
      <c r="J24" s="92"/>
      <c r="K24" s="92"/>
      <c r="L24" s="92"/>
      <c r="M24" s="92"/>
      <c r="N24" s="92"/>
      <c r="O24" s="92"/>
      <c r="P24" s="92"/>
      <c r="Q24" s="12" t="s">
        <v>11</v>
      </c>
      <c r="R24" s="92"/>
      <c r="T24" s="92"/>
      <c r="U24" s="149" t="s">
        <v>65</v>
      </c>
      <c r="V24" s="149">
        <f>SUM(V22:V23)</f>
        <v>2290</v>
      </c>
      <c r="W24" s="149"/>
      <c r="X24" s="149">
        <f>SUM(K6:O11)</f>
        <v>4</v>
      </c>
      <c r="Y24" s="92"/>
      <c r="Z24" s="92" t="s">
        <v>70</v>
      </c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</row>
    <row r="25" spans="2:39" ht="26.25" x14ac:dyDescent="0.3">
      <c r="B25" s="22"/>
      <c r="C25" s="14" t="s">
        <v>43</v>
      </c>
      <c r="D25" s="14" t="s">
        <v>11</v>
      </c>
      <c r="E25" s="48" t="s">
        <v>13</v>
      </c>
      <c r="F25" s="48" t="s">
        <v>14</v>
      </c>
      <c r="G25" s="48" t="s">
        <v>15</v>
      </c>
      <c r="H25" s="48" t="s">
        <v>16</v>
      </c>
      <c r="I25" s="48" t="s">
        <v>17</v>
      </c>
      <c r="J25" s="74" t="s">
        <v>18</v>
      </c>
      <c r="K25" s="48" t="s">
        <v>19</v>
      </c>
      <c r="L25" s="48" t="s">
        <v>20</v>
      </c>
      <c r="M25" s="48" t="s">
        <v>21</v>
      </c>
      <c r="N25" s="48" t="s">
        <v>22</v>
      </c>
      <c r="O25" s="48" t="s">
        <v>23</v>
      </c>
      <c r="P25" s="48" t="s">
        <v>24</v>
      </c>
      <c r="Q25" s="49"/>
      <c r="R25" s="22"/>
      <c r="S25" s="22"/>
      <c r="T25" s="22"/>
      <c r="U25" s="149"/>
      <c r="V25" s="149"/>
      <c r="W25" s="149"/>
      <c r="X25" s="149">
        <f>SUM(X22+X23-X24)</f>
        <v>2046</v>
      </c>
      <c r="Y25" s="148"/>
      <c r="Z25" s="148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</row>
    <row r="26" spans="2:39" x14ac:dyDescent="0.3">
      <c r="B26" s="92"/>
      <c r="C26" s="12" t="s">
        <v>26</v>
      </c>
      <c r="D26" s="18" t="s">
        <v>11</v>
      </c>
      <c r="E26" s="23">
        <f t="shared" ref="E26:P26" si="11">SUM(E6/E$5)*(1+$G$24)</f>
        <v>0</v>
      </c>
      <c r="F26" s="24">
        <f t="shared" si="11"/>
        <v>0</v>
      </c>
      <c r="G26" s="24">
        <f t="shared" si="11"/>
        <v>0</v>
      </c>
      <c r="H26" s="24">
        <f t="shared" si="11"/>
        <v>0</v>
      </c>
      <c r="I26" s="24">
        <f t="shared" si="11"/>
        <v>0</v>
      </c>
      <c r="J26" s="24">
        <f t="shared" si="11"/>
        <v>0.1386255924170616</v>
      </c>
      <c r="K26" s="24">
        <f t="shared" si="11"/>
        <v>0</v>
      </c>
      <c r="L26" s="24">
        <f t="shared" si="11"/>
        <v>0</v>
      </c>
      <c r="M26" s="24">
        <f t="shared" si="11"/>
        <v>0</v>
      </c>
      <c r="N26" s="24">
        <f t="shared" si="11"/>
        <v>0</v>
      </c>
      <c r="O26" s="24">
        <f t="shared" si="11"/>
        <v>0</v>
      </c>
      <c r="P26" s="25">
        <f t="shared" si="11"/>
        <v>0</v>
      </c>
      <c r="Q26" s="12" t="s">
        <v>11</v>
      </c>
      <c r="R26" s="92"/>
      <c r="S26" s="92"/>
      <c r="T26" s="92"/>
      <c r="U26" s="149"/>
      <c r="V26" s="149"/>
      <c r="W26" s="149">
        <f>SUM(V24-X25)</f>
        <v>244</v>
      </c>
      <c r="X26" s="149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</row>
    <row r="27" spans="2:39" x14ac:dyDescent="0.3">
      <c r="B27" s="92"/>
      <c r="C27" s="12" t="s">
        <v>27</v>
      </c>
      <c r="D27" s="18" t="s">
        <v>11</v>
      </c>
      <c r="E27" s="26">
        <f t="shared" ref="E27:P27" si="12">SUM(E7/E$5)*(1+$G$24)</f>
        <v>0.22493786246893124</v>
      </c>
      <c r="F27" s="27">
        <f t="shared" si="12"/>
        <v>7.2941176470588232E-2</v>
      </c>
      <c r="G27" s="27">
        <f t="shared" si="12"/>
        <v>0</v>
      </c>
      <c r="H27" s="27">
        <f t="shared" si="12"/>
        <v>0</v>
      </c>
      <c r="I27" s="27">
        <f t="shared" si="12"/>
        <v>0</v>
      </c>
      <c r="J27" s="27">
        <f t="shared" si="12"/>
        <v>0</v>
      </c>
      <c r="K27" s="27">
        <f t="shared" si="12"/>
        <v>0</v>
      </c>
      <c r="L27" s="27">
        <f t="shared" si="12"/>
        <v>0</v>
      </c>
      <c r="M27" s="27">
        <f t="shared" si="12"/>
        <v>0</v>
      </c>
      <c r="N27" s="27">
        <f t="shared" si="12"/>
        <v>0</v>
      </c>
      <c r="O27" s="27">
        <f t="shared" si="12"/>
        <v>0</v>
      </c>
      <c r="P27" s="28">
        <f t="shared" si="12"/>
        <v>0</v>
      </c>
      <c r="Q27" s="12" t="s">
        <v>11</v>
      </c>
      <c r="R27" s="92"/>
      <c r="S27" s="92"/>
      <c r="T27" s="92"/>
      <c r="V27" s="147" t="s">
        <v>11</v>
      </c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</row>
    <row r="28" spans="2:39" x14ac:dyDescent="0.3">
      <c r="B28" s="92"/>
      <c r="C28" s="12" t="s">
        <v>28</v>
      </c>
      <c r="D28" s="18" t="s">
        <v>11</v>
      </c>
      <c r="E28" s="26">
        <f t="shared" ref="E28:P28" si="13">SUM(E8/E$5)*(1+$G$24)</f>
        <v>0.45443247721623858</v>
      </c>
      <c r="F28" s="27">
        <f t="shared" si="13"/>
        <v>0.41490196078431374</v>
      </c>
      <c r="G28" s="27">
        <f t="shared" si="13"/>
        <v>0.14186127570582086</v>
      </c>
      <c r="H28" s="27">
        <f t="shared" si="13"/>
        <v>0</v>
      </c>
      <c r="I28" s="27">
        <f t="shared" si="13"/>
        <v>0</v>
      </c>
      <c r="J28" s="27">
        <f t="shared" si="13"/>
        <v>3.9494470774091627E-4</v>
      </c>
      <c r="K28" s="27">
        <f t="shared" si="13"/>
        <v>0</v>
      </c>
      <c r="L28" s="27">
        <f t="shared" si="13"/>
        <v>0</v>
      </c>
      <c r="M28" s="27">
        <f t="shared" si="13"/>
        <v>0</v>
      </c>
      <c r="N28" s="27">
        <f t="shared" si="13"/>
        <v>0</v>
      </c>
      <c r="O28" s="27">
        <f t="shared" si="13"/>
        <v>0</v>
      </c>
      <c r="P28" s="28">
        <f t="shared" si="13"/>
        <v>0</v>
      </c>
      <c r="Q28" s="12" t="s">
        <v>11</v>
      </c>
      <c r="R28" s="92"/>
      <c r="S28" s="92"/>
      <c r="T28" s="92"/>
      <c r="Y28" s="92"/>
      <c r="Z28" s="92">
        <f>SUM(Q20+R18+R19)</f>
        <v>31143</v>
      </c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</row>
    <row r="29" spans="2:39" x14ac:dyDescent="0.3">
      <c r="B29" s="92"/>
      <c r="C29" s="12" t="s">
        <v>29</v>
      </c>
      <c r="D29" s="18" t="s">
        <v>11</v>
      </c>
      <c r="E29" s="26">
        <f t="shared" ref="E29:P29" si="14">SUM(E9/E$5)*(1+$G$24)</f>
        <v>2.444076222038111E-2</v>
      </c>
      <c r="F29" s="27">
        <f t="shared" si="14"/>
        <v>5.1764705882352942E-2</v>
      </c>
      <c r="G29" s="27">
        <f t="shared" si="14"/>
        <v>0.5935866155454862</v>
      </c>
      <c r="H29" s="27">
        <f t="shared" si="14"/>
        <v>0.13867488443759629</v>
      </c>
      <c r="I29" s="27">
        <f t="shared" si="14"/>
        <v>2.2867596615595701E-4</v>
      </c>
      <c r="J29" s="27">
        <f t="shared" si="14"/>
        <v>0</v>
      </c>
      <c r="K29" s="27">
        <f t="shared" si="14"/>
        <v>0</v>
      </c>
      <c r="L29" s="27">
        <f t="shared" si="14"/>
        <v>0</v>
      </c>
      <c r="M29" s="27">
        <f t="shared" si="14"/>
        <v>0</v>
      </c>
      <c r="N29" s="27">
        <f t="shared" si="14"/>
        <v>0</v>
      </c>
      <c r="O29" s="27">
        <f t="shared" si="14"/>
        <v>0</v>
      </c>
      <c r="P29" s="28">
        <f t="shared" si="14"/>
        <v>0</v>
      </c>
      <c r="Q29" s="12" t="s">
        <v>11</v>
      </c>
      <c r="R29" s="92"/>
      <c r="S29" s="92"/>
      <c r="T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</row>
    <row r="30" spans="2:39" x14ac:dyDescent="0.3">
      <c r="B30" s="92"/>
      <c r="C30" s="12" t="s">
        <v>30</v>
      </c>
      <c r="D30" s="18" t="s">
        <v>11</v>
      </c>
      <c r="E30" s="26">
        <f t="shared" ref="E30:P30" si="15">SUM(E10/E$5)*(1+$G$24)</f>
        <v>1.2427506213753107E-3</v>
      </c>
      <c r="F30" s="27">
        <f t="shared" si="15"/>
        <v>0</v>
      </c>
      <c r="G30" s="27">
        <f t="shared" si="15"/>
        <v>4.8797490414778669E-2</v>
      </c>
      <c r="H30" s="27">
        <f t="shared" si="15"/>
        <v>0.64406779661016944</v>
      </c>
      <c r="I30" s="27">
        <f t="shared" si="15"/>
        <v>0.28881774525497372</v>
      </c>
      <c r="J30" s="27">
        <f t="shared" si="15"/>
        <v>2.3696682464454978E-3</v>
      </c>
      <c r="K30" s="27">
        <f t="shared" si="15"/>
        <v>0</v>
      </c>
      <c r="L30" s="27">
        <f t="shared" si="15"/>
        <v>0</v>
      </c>
      <c r="M30" s="27">
        <f t="shared" si="15"/>
        <v>0</v>
      </c>
      <c r="N30" s="27">
        <f t="shared" si="15"/>
        <v>0</v>
      </c>
      <c r="O30" s="27">
        <f t="shared" si="15"/>
        <v>0</v>
      </c>
      <c r="P30" s="28">
        <f t="shared" si="15"/>
        <v>0</v>
      </c>
      <c r="Q30" s="12" t="s">
        <v>11</v>
      </c>
      <c r="R30" s="92"/>
      <c r="S30" s="92"/>
      <c r="T30" s="92"/>
      <c r="Y30" s="92"/>
      <c r="Z30" s="92"/>
      <c r="AA30" s="92"/>
      <c r="AB30" s="92"/>
      <c r="AC30" s="92"/>
      <c r="AD30" s="12" t="s">
        <v>11</v>
      </c>
      <c r="AE30" s="92"/>
      <c r="AF30" s="92"/>
      <c r="AG30" s="92"/>
      <c r="AH30" s="92"/>
      <c r="AI30" s="92"/>
      <c r="AJ30" s="92"/>
      <c r="AK30" s="92"/>
      <c r="AL30" s="92"/>
      <c r="AM30" s="92"/>
    </row>
    <row r="31" spans="2:39" x14ac:dyDescent="0.3">
      <c r="B31" s="92"/>
      <c r="C31" s="12" t="s">
        <v>18</v>
      </c>
      <c r="D31" s="18" t="s">
        <v>11</v>
      </c>
      <c r="E31" s="26">
        <f t="shared" ref="E31:P31" si="16">SUM(E11/E$5)*(1+$G$24)</f>
        <v>0</v>
      </c>
      <c r="F31" s="27">
        <f t="shared" si="16"/>
        <v>0</v>
      </c>
      <c r="G31" s="27">
        <f t="shared" si="16"/>
        <v>3.4855350296270478E-4</v>
      </c>
      <c r="H31" s="27">
        <f t="shared" si="16"/>
        <v>0</v>
      </c>
      <c r="I31" s="27">
        <f t="shared" si="16"/>
        <v>3.6588154584953122E-3</v>
      </c>
      <c r="J31" s="27">
        <f t="shared" si="16"/>
        <v>0.21248025276461296</v>
      </c>
      <c r="K31" s="27">
        <f t="shared" si="16"/>
        <v>1.0675206832132373E-3</v>
      </c>
      <c r="L31" s="27">
        <f t="shared" si="16"/>
        <v>0</v>
      </c>
      <c r="M31" s="27">
        <f t="shared" si="16"/>
        <v>0</v>
      </c>
      <c r="N31" s="27">
        <f t="shared" si="16"/>
        <v>0</v>
      </c>
      <c r="O31" s="27">
        <f t="shared" si="16"/>
        <v>0</v>
      </c>
      <c r="P31" s="28">
        <f t="shared" si="16"/>
        <v>0</v>
      </c>
      <c r="Q31" s="12" t="s">
        <v>11</v>
      </c>
      <c r="R31" s="92"/>
      <c r="S31" s="92"/>
      <c r="T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</row>
    <row r="32" spans="2:39" x14ac:dyDescent="0.3">
      <c r="B32" s="92"/>
      <c r="C32" s="12" t="s">
        <v>19</v>
      </c>
      <c r="D32" s="18" t="s">
        <v>11</v>
      </c>
      <c r="E32" s="26">
        <f t="shared" ref="E32:P32" si="17">SUM(E12/E$5)*(1+$G$24)</f>
        <v>0</v>
      </c>
      <c r="F32" s="27">
        <f t="shared" si="17"/>
        <v>0</v>
      </c>
      <c r="G32" s="27">
        <f t="shared" si="17"/>
        <v>0</v>
      </c>
      <c r="H32" s="27">
        <f t="shared" si="17"/>
        <v>2.465331278890601E-3</v>
      </c>
      <c r="I32" s="27">
        <f t="shared" si="17"/>
        <v>4.756460096043906E-2</v>
      </c>
      <c r="J32" s="27">
        <f t="shared" si="17"/>
        <v>1.9747235387045812E-3</v>
      </c>
      <c r="K32" s="27">
        <f t="shared" si="17"/>
        <v>0.48865759274085935</v>
      </c>
      <c r="L32" s="27">
        <f t="shared" si="17"/>
        <v>0</v>
      </c>
      <c r="M32" s="27">
        <f t="shared" si="17"/>
        <v>0</v>
      </c>
      <c r="N32" s="27">
        <f t="shared" si="17"/>
        <v>0</v>
      </c>
      <c r="O32" s="27">
        <f t="shared" si="17"/>
        <v>3.3557046979865771E-3</v>
      </c>
      <c r="P32" s="28">
        <f t="shared" si="17"/>
        <v>3.9840637450199202E-3</v>
      </c>
      <c r="Q32" s="12" t="s">
        <v>11</v>
      </c>
      <c r="R32" s="92"/>
      <c r="S32" s="92"/>
      <c r="T32" s="92"/>
      <c r="Y32" s="92"/>
      <c r="Z32" s="54" t="s">
        <v>11</v>
      </c>
    </row>
    <row r="33" spans="2:31" x14ac:dyDescent="0.3">
      <c r="B33" s="92"/>
      <c r="C33" s="12" t="s">
        <v>31</v>
      </c>
      <c r="D33" s="18" t="s">
        <v>11</v>
      </c>
      <c r="E33" s="26">
        <f t="shared" ref="E33:P33" si="18">SUM(E13/E$5)*(1+$G$24)</f>
        <v>0</v>
      </c>
      <c r="F33" s="27">
        <f t="shared" si="18"/>
        <v>0</v>
      </c>
      <c r="G33" s="27">
        <f t="shared" si="18"/>
        <v>0</v>
      </c>
      <c r="H33" s="27">
        <f t="shared" si="18"/>
        <v>3.0816640986132513E-4</v>
      </c>
      <c r="I33" s="27">
        <f t="shared" si="18"/>
        <v>4.5735193231191402E-4</v>
      </c>
      <c r="J33" s="27">
        <f t="shared" si="18"/>
        <v>0</v>
      </c>
      <c r="K33" s="27">
        <f t="shared" si="18"/>
        <v>0</v>
      </c>
      <c r="L33" s="27">
        <f t="shared" si="18"/>
        <v>4.046242774566474E-2</v>
      </c>
      <c r="M33" s="27">
        <f t="shared" si="18"/>
        <v>0</v>
      </c>
      <c r="N33" s="27">
        <f t="shared" si="18"/>
        <v>0</v>
      </c>
      <c r="O33" s="27">
        <f t="shared" si="18"/>
        <v>0</v>
      </c>
      <c r="P33" s="28">
        <f t="shared" si="18"/>
        <v>0</v>
      </c>
      <c r="Q33" s="12" t="s">
        <v>11</v>
      </c>
      <c r="R33" s="92"/>
      <c r="S33" s="92"/>
      <c r="T33" s="92"/>
      <c r="Y33" s="92"/>
      <c r="Z33" s="54" t="s">
        <v>11</v>
      </c>
    </row>
    <row r="34" spans="2:31" x14ac:dyDescent="0.3">
      <c r="B34" s="92"/>
      <c r="C34" s="12" t="s">
        <v>32</v>
      </c>
      <c r="D34" s="18" t="s">
        <v>11</v>
      </c>
      <c r="E34" s="26">
        <f t="shared" ref="E34:P34" si="19">SUM(E14/E$5)*(1+$G$24)</f>
        <v>0</v>
      </c>
      <c r="F34" s="27">
        <f t="shared" si="19"/>
        <v>0</v>
      </c>
      <c r="G34" s="27">
        <f t="shared" si="19"/>
        <v>0</v>
      </c>
      <c r="H34" s="27">
        <f t="shared" si="19"/>
        <v>0</v>
      </c>
      <c r="I34" s="27">
        <f t="shared" si="19"/>
        <v>2.2867596615595701E-4</v>
      </c>
      <c r="J34" s="27">
        <f t="shared" si="19"/>
        <v>0</v>
      </c>
      <c r="K34" s="27">
        <f t="shared" si="19"/>
        <v>0</v>
      </c>
      <c r="L34" s="27">
        <f t="shared" si="19"/>
        <v>0.59537572254335258</v>
      </c>
      <c r="M34" s="27">
        <f t="shared" si="19"/>
        <v>1.5625E-2</v>
      </c>
      <c r="N34" s="27">
        <f t="shared" si="19"/>
        <v>0</v>
      </c>
      <c r="O34" s="27">
        <f t="shared" si="19"/>
        <v>0</v>
      </c>
      <c r="P34" s="28">
        <f t="shared" si="19"/>
        <v>0</v>
      </c>
      <c r="Q34" s="12" t="s">
        <v>11</v>
      </c>
      <c r="R34" s="92"/>
      <c r="S34" s="92"/>
      <c r="T34" s="92"/>
      <c r="Y34" s="92"/>
      <c r="Z34" s="54" t="s">
        <v>11</v>
      </c>
      <c r="AB34" s="168" t="s">
        <v>92</v>
      </c>
      <c r="AC34" s="168" t="s">
        <v>89</v>
      </c>
      <c r="AD34" s="168" t="s">
        <v>90</v>
      </c>
      <c r="AE34" s="168" t="s">
        <v>91</v>
      </c>
    </row>
    <row r="35" spans="2:31" x14ac:dyDescent="0.3">
      <c r="B35" s="92"/>
      <c r="C35" s="12" t="s">
        <v>33</v>
      </c>
      <c r="D35" s="18" t="s">
        <v>11</v>
      </c>
      <c r="E35" s="26">
        <f t="shared" ref="E35:P35" si="20">SUM(E15/E$5)*(1+$G$24)</f>
        <v>0</v>
      </c>
      <c r="F35" s="27">
        <f t="shared" si="20"/>
        <v>0</v>
      </c>
      <c r="G35" s="27">
        <f t="shared" si="20"/>
        <v>0</v>
      </c>
      <c r="H35" s="27">
        <f t="shared" si="20"/>
        <v>0</v>
      </c>
      <c r="I35" s="27">
        <f t="shared" si="20"/>
        <v>0</v>
      </c>
      <c r="J35" s="27">
        <f t="shared" si="20"/>
        <v>0</v>
      </c>
      <c r="K35" s="27">
        <f t="shared" si="20"/>
        <v>0</v>
      </c>
      <c r="L35" s="27">
        <f t="shared" si="20"/>
        <v>0.27167630057803466</v>
      </c>
      <c r="M35" s="27">
        <f t="shared" si="20"/>
        <v>0.6875</v>
      </c>
      <c r="N35" s="27">
        <f t="shared" si="20"/>
        <v>3.7499999999999999E-2</v>
      </c>
      <c r="O35" s="27">
        <f t="shared" si="20"/>
        <v>0</v>
      </c>
      <c r="P35" s="28">
        <f t="shared" si="20"/>
        <v>0</v>
      </c>
      <c r="Q35" s="12" t="s">
        <v>11</v>
      </c>
      <c r="R35" s="92"/>
      <c r="S35" s="92"/>
      <c r="T35" s="92"/>
      <c r="U35" s="92"/>
      <c r="V35" s="92"/>
      <c r="W35" s="92"/>
      <c r="X35" s="92"/>
      <c r="Y35" s="92"/>
      <c r="Z35" s="92"/>
      <c r="AB35" s="168" t="s">
        <v>85</v>
      </c>
      <c r="AC35" s="168">
        <v>17156</v>
      </c>
      <c r="AD35" s="168">
        <v>16997</v>
      </c>
      <c r="AE35" s="169">
        <f>(AD35-AC35)/AC35</f>
        <v>-9.2678946141291681E-3</v>
      </c>
    </row>
    <row r="36" spans="2:31" x14ac:dyDescent="0.3">
      <c r="B36" s="92"/>
      <c r="C36" s="12" t="s">
        <v>34</v>
      </c>
      <c r="D36" s="18" t="s">
        <v>11</v>
      </c>
      <c r="E36" s="26">
        <f t="shared" ref="E36:P36" si="21">SUM(E16/E$5)*(1+$G$24)</f>
        <v>0</v>
      </c>
      <c r="F36" s="27">
        <f t="shared" si="21"/>
        <v>0</v>
      </c>
      <c r="G36" s="27">
        <f t="shared" si="21"/>
        <v>0</v>
      </c>
      <c r="H36" s="27">
        <f t="shared" si="21"/>
        <v>0</v>
      </c>
      <c r="I36" s="27">
        <f t="shared" si="21"/>
        <v>2.0580836954036132E-3</v>
      </c>
      <c r="J36" s="27">
        <f t="shared" si="21"/>
        <v>0</v>
      </c>
      <c r="K36" s="27">
        <f t="shared" si="21"/>
        <v>8.2732852949025885E-3</v>
      </c>
      <c r="L36" s="27">
        <f t="shared" si="21"/>
        <v>0</v>
      </c>
      <c r="M36" s="27">
        <f t="shared" si="21"/>
        <v>0</v>
      </c>
      <c r="N36" s="27">
        <f t="shared" si="21"/>
        <v>0</v>
      </c>
      <c r="O36" s="27">
        <f t="shared" si="21"/>
        <v>0.62751677852348997</v>
      </c>
      <c r="P36" s="28">
        <f t="shared" si="21"/>
        <v>1.1952191235059761E-2</v>
      </c>
      <c r="Q36" s="12" t="s">
        <v>11</v>
      </c>
      <c r="R36" s="92"/>
      <c r="S36" s="92"/>
      <c r="T36" s="92"/>
      <c r="U36" s="92"/>
      <c r="V36" s="92"/>
      <c r="W36" s="92"/>
      <c r="X36" s="92"/>
      <c r="Y36" s="92"/>
      <c r="Z36" s="92"/>
      <c r="AB36" s="168" t="s">
        <v>86</v>
      </c>
      <c r="AC36" s="168">
        <v>4408</v>
      </c>
      <c r="AD36" s="168">
        <v>4525</v>
      </c>
      <c r="AE36" s="169">
        <f t="shared" ref="AE36:AE38" si="22">(AD36-AC36)/AC36</f>
        <v>2.6542649727767695E-2</v>
      </c>
    </row>
    <row r="37" spans="2:31" x14ac:dyDescent="0.3">
      <c r="B37" s="92"/>
      <c r="C37" s="12" t="s">
        <v>35</v>
      </c>
      <c r="D37" s="18" t="s">
        <v>11</v>
      </c>
      <c r="E37" s="26">
        <f t="shared" ref="E37:P37" si="23">SUM(E17/E$5)*(1+$G$24)</f>
        <v>0</v>
      </c>
      <c r="F37" s="27">
        <f t="shared" si="23"/>
        <v>0</v>
      </c>
      <c r="G37" s="27">
        <f t="shared" si="23"/>
        <v>0</v>
      </c>
      <c r="H37" s="27">
        <f t="shared" si="23"/>
        <v>0</v>
      </c>
      <c r="I37" s="27">
        <f t="shared" si="23"/>
        <v>0</v>
      </c>
      <c r="J37" s="27">
        <f t="shared" si="23"/>
        <v>0</v>
      </c>
      <c r="K37" s="27">
        <f t="shared" si="23"/>
        <v>2.6688017080330931E-4</v>
      </c>
      <c r="L37" s="27">
        <f t="shared" si="23"/>
        <v>0</v>
      </c>
      <c r="M37" s="27">
        <f t="shared" si="23"/>
        <v>0</v>
      </c>
      <c r="N37" s="27">
        <f t="shared" si="23"/>
        <v>0</v>
      </c>
      <c r="O37" s="27">
        <f t="shared" si="23"/>
        <v>0.14988814317673377</v>
      </c>
      <c r="P37" s="28">
        <f t="shared" si="23"/>
        <v>0.57768924302788849</v>
      </c>
      <c r="Q37" s="12" t="s">
        <v>11</v>
      </c>
      <c r="R37" s="92"/>
      <c r="S37" s="92"/>
      <c r="T37" s="92"/>
      <c r="U37" s="92"/>
      <c r="V37" s="92"/>
      <c r="W37" s="92"/>
      <c r="X37" s="92"/>
      <c r="Y37" s="92"/>
      <c r="Z37" s="92"/>
      <c r="AB37" s="168" t="s">
        <v>87</v>
      </c>
      <c r="AC37" s="168">
        <v>365</v>
      </c>
      <c r="AD37" s="168">
        <v>361</v>
      </c>
      <c r="AE37" s="169">
        <f t="shared" si="22"/>
        <v>-1.0958904109589041E-2</v>
      </c>
    </row>
    <row r="38" spans="2:31" x14ac:dyDescent="0.3">
      <c r="B38" s="92"/>
      <c r="C38" s="12" t="s">
        <v>36</v>
      </c>
      <c r="D38" s="18" t="s">
        <v>11</v>
      </c>
      <c r="E38" s="29">
        <f t="shared" ref="E38:P38" si="24">SUM(E18/E$5)</f>
        <v>0</v>
      </c>
      <c r="F38" s="30">
        <f t="shared" si="24"/>
        <v>0</v>
      </c>
      <c r="G38" s="30">
        <f t="shared" si="24"/>
        <v>3.4855350296270478E-4</v>
      </c>
      <c r="H38" s="30">
        <f t="shared" si="24"/>
        <v>6.1016949152542375E-2</v>
      </c>
      <c r="I38" s="30">
        <f t="shared" si="24"/>
        <v>0.53533043677109537</v>
      </c>
      <c r="J38" s="30">
        <f t="shared" si="24"/>
        <v>0</v>
      </c>
      <c r="K38" s="30">
        <f t="shared" si="24"/>
        <v>0.33093141179610353</v>
      </c>
      <c r="L38" s="30">
        <f t="shared" si="24"/>
        <v>0</v>
      </c>
      <c r="M38" s="30">
        <f t="shared" si="24"/>
        <v>0.265625</v>
      </c>
      <c r="N38" s="30">
        <f t="shared" si="24"/>
        <v>0.96250000000000002</v>
      </c>
      <c r="O38" s="30">
        <f t="shared" si="24"/>
        <v>8.2774049217002238E-2</v>
      </c>
      <c r="P38" s="31">
        <f t="shared" si="24"/>
        <v>0.33067729083665337</v>
      </c>
      <c r="Q38" s="12" t="s">
        <v>11</v>
      </c>
      <c r="R38" s="92"/>
      <c r="S38" s="92"/>
      <c r="T38" s="92"/>
      <c r="U38" s="92"/>
      <c r="V38" s="92"/>
      <c r="W38" s="92"/>
      <c r="X38" s="92"/>
      <c r="Y38" s="92"/>
      <c r="Z38" s="92"/>
      <c r="AB38" s="168" t="s">
        <v>88</v>
      </c>
      <c r="AC38" s="168">
        <f>SUM(AC35:AC37)</f>
        <v>21929</v>
      </c>
      <c r="AD38" s="168">
        <f>SUM(AD35:AD37)</f>
        <v>21883</v>
      </c>
      <c r="AE38" s="169">
        <f t="shared" si="22"/>
        <v>-2.0976788727256144E-3</v>
      </c>
    </row>
    <row r="39" spans="2:31" x14ac:dyDescent="0.3">
      <c r="B39" s="92"/>
      <c r="C39" s="12" t="s">
        <v>37</v>
      </c>
      <c r="D39" s="18" t="s">
        <v>11</v>
      </c>
      <c r="E39" s="50">
        <f t="shared" ref="E39:P39" si="25">1 - SUM(E26:E38)</f>
        <v>0.29494614747307368</v>
      </c>
      <c r="F39" s="51">
        <f t="shared" si="25"/>
        <v>0.46039215686274504</v>
      </c>
      <c r="G39" s="51">
        <f t="shared" si="25"/>
        <v>0.21505751132798889</v>
      </c>
      <c r="H39" s="51">
        <f t="shared" si="25"/>
        <v>0.1534668721109399</v>
      </c>
      <c r="I39" s="51">
        <f t="shared" si="25"/>
        <v>0.12165561399496916</v>
      </c>
      <c r="J39" s="51">
        <f t="shared" si="25"/>
        <v>0.64415481832543442</v>
      </c>
      <c r="K39" s="51">
        <f t="shared" si="25"/>
        <v>0.17080330931411802</v>
      </c>
      <c r="L39" s="51">
        <f t="shared" si="25"/>
        <v>9.2485549132947931E-2</v>
      </c>
      <c r="M39" s="51">
        <f t="shared" si="25"/>
        <v>3.125E-2</v>
      </c>
      <c r="N39" s="51">
        <f t="shared" si="25"/>
        <v>0</v>
      </c>
      <c r="O39" s="51">
        <f t="shared" si="25"/>
        <v>0.13646532438478742</v>
      </c>
      <c r="P39" s="52">
        <f t="shared" si="25"/>
        <v>7.5697211155378419E-2</v>
      </c>
      <c r="Q39" s="12" t="s">
        <v>11</v>
      </c>
      <c r="R39" s="92"/>
      <c r="S39" s="92"/>
      <c r="T39" s="92"/>
      <c r="U39" s="92"/>
      <c r="V39" s="92"/>
      <c r="W39" s="92"/>
      <c r="X39" s="92"/>
      <c r="Y39" s="92"/>
      <c r="Z39" s="92"/>
    </row>
    <row r="40" spans="2:31" x14ac:dyDescent="0.3">
      <c r="B40" s="92"/>
      <c r="C40" s="18" t="s">
        <v>25</v>
      </c>
      <c r="D40" s="18" t="s">
        <v>11</v>
      </c>
      <c r="E40" s="166">
        <f>SUM(E26:E39)</f>
        <v>1</v>
      </c>
      <c r="F40" s="166">
        <f t="shared" ref="F40:P40" si="26">SUM(F26:F39)</f>
        <v>1</v>
      </c>
      <c r="G40" s="166">
        <f t="shared" si="26"/>
        <v>1</v>
      </c>
      <c r="H40" s="166">
        <f t="shared" si="26"/>
        <v>1</v>
      </c>
      <c r="I40" s="166">
        <f t="shared" si="26"/>
        <v>1</v>
      </c>
      <c r="J40" s="166">
        <f t="shared" si="26"/>
        <v>1</v>
      </c>
      <c r="K40" s="166">
        <f t="shared" si="26"/>
        <v>1</v>
      </c>
      <c r="L40" s="166">
        <f t="shared" si="26"/>
        <v>1</v>
      </c>
      <c r="M40" s="166">
        <f t="shared" si="26"/>
        <v>1</v>
      </c>
      <c r="N40" s="166">
        <f t="shared" si="26"/>
        <v>1</v>
      </c>
      <c r="O40" s="166">
        <f t="shared" si="26"/>
        <v>1</v>
      </c>
      <c r="P40" s="166">
        <f t="shared" si="26"/>
        <v>1</v>
      </c>
      <c r="Q40" s="12" t="s">
        <v>11</v>
      </c>
      <c r="R40" s="92"/>
      <c r="S40" s="92"/>
      <c r="T40" s="92"/>
      <c r="U40" s="92"/>
      <c r="V40" s="92"/>
      <c r="W40" s="92"/>
      <c r="X40" s="92"/>
      <c r="Y40" s="92"/>
      <c r="Z40" s="92"/>
    </row>
    <row r="41" spans="2:31" x14ac:dyDescent="0.3">
      <c r="B41" s="92"/>
      <c r="C41" s="18"/>
      <c r="D41" s="92"/>
      <c r="E41" s="96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</row>
    <row r="42" spans="2:31" x14ac:dyDescent="0.3">
      <c r="B42" s="32" t="s">
        <v>45</v>
      </c>
      <c r="C42" s="33"/>
      <c r="D42" s="33"/>
      <c r="E42" s="13"/>
      <c r="F42" s="92"/>
      <c r="G42" s="34">
        <f>SUM(Sheet3!M10)</f>
        <v>-0.03</v>
      </c>
      <c r="H42" s="92"/>
      <c r="I42" s="92"/>
      <c r="J42" s="115" t="s">
        <v>46</v>
      </c>
      <c r="K42" s="115">
        <f>SUM(B7)</f>
        <v>2023</v>
      </c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</row>
    <row r="43" spans="2:31" ht="26.25" x14ac:dyDescent="0.3">
      <c r="B43" s="92"/>
      <c r="C43" s="15" t="s">
        <v>47</v>
      </c>
      <c r="D43" s="35" t="s">
        <v>44</v>
      </c>
      <c r="E43" s="116" t="s">
        <v>13</v>
      </c>
      <c r="F43" s="116" t="s">
        <v>14</v>
      </c>
      <c r="G43" s="116" t="s">
        <v>15</v>
      </c>
      <c r="H43" s="116" t="s">
        <v>16</v>
      </c>
      <c r="I43" s="116" t="s">
        <v>17</v>
      </c>
      <c r="J43" s="98" t="s">
        <v>18</v>
      </c>
      <c r="K43" s="116" t="s">
        <v>19</v>
      </c>
      <c r="L43" s="116" t="s">
        <v>20</v>
      </c>
      <c r="M43" s="116" t="s">
        <v>21</v>
      </c>
      <c r="N43" s="116" t="s">
        <v>22</v>
      </c>
      <c r="O43" s="116" t="s">
        <v>23</v>
      </c>
      <c r="P43" s="116" t="s">
        <v>24</v>
      </c>
      <c r="Q43" s="53" t="s">
        <v>25</v>
      </c>
      <c r="R43" s="92"/>
      <c r="S43" s="92"/>
      <c r="T43" s="92"/>
      <c r="U43" s="92"/>
      <c r="V43" s="92"/>
      <c r="W43" s="92"/>
      <c r="X43" s="92"/>
      <c r="Y43" s="92"/>
      <c r="Z43" s="92"/>
    </row>
    <row r="44" spans="2:31" x14ac:dyDescent="0.3">
      <c r="B44" s="92"/>
      <c r="C44" s="15"/>
      <c r="D44" s="35"/>
      <c r="E44" s="114">
        <f>SUM(Q6)</f>
        <v>2526</v>
      </c>
      <c r="F44" s="114">
        <f>SUM(Q7)</f>
        <v>1186</v>
      </c>
      <c r="G44" s="114">
        <f>SUM(Q8)</f>
        <v>2685</v>
      </c>
      <c r="H44" s="114">
        <f>SUM(Q9)</f>
        <v>3099</v>
      </c>
      <c r="I44" s="114">
        <f>SUM(Q10)</f>
        <v>4144</v>
      </c>
      <c r="J44" s="114">
        <f>SUM(Q11)</f>
        <v>3131</v>
      </c>
      <c r="K44" s="114">
        <f>SUM(Q12)</f>
        <v>3520</v>
      </c>
      <c r="L44" s="114">
        <f>SUM(Q13)</f>
        <v>83</v>
      </c>
      <c r="M44" s="114">
        <f>SUM(Q14)</f>
        <v>105</v>
      </c>
      <c r="N44" s="114">
        <f>SUM(Q15)</f>
        <v>95</v>
      </c>
      <c r="O44" s="114">
        <f>SUM(Q16)</f>
        <v>871</v>
      </c>
      <c r="P44" s="114">
        <f>SUM(Q17)</f>
        <v>291</v>
      </c>
      <c r="Q44" s="117">
        <f>SUM(E44:P44)</f>
        <v>21736</v>
      </c>
      <c r="R44" s="92"/>
      <c r="S44" s="92"/>
      <c r="T44" s="92"/>
      <c r="V44" s="13">
        <f>SUM(V5)</f>
        <v>2022</v>
      </c>
      <c r="W44" s="13">
        <f>SUM(B46)</f>
        <v>2024</v>
      </c>
      <c r="X44" s="135" t="s">
        <v>61</v>
      </c>
      <c r="Y44" s="92"/>
      <c r="Z44" s="92"/>
    </row>
    <row r="45" spans="2:31" x14ac:dyDescent="0.3">
      <c r="B45" s="104" t="s">
        <v>8</v>
      </c>
      <c r="C45" s="101" t="s">
        <v>26</v>
      </c>
      <c r="D45" s="47">
        <f>($G$42*D6) + D6</f>
        <v>2109.75</v>
      </c>
      <c r="E45" s="36">
        <f t="shared" ref="E45:P45" si="27">SUM(E26*E$44)</f>
        <v>0</v>
      </c>
      <c r="F45" s="37">
        <f t="shared" si="27"/>
        <v>0</v>
      </c>
      <c r="G45" s="37">
        <f t="shared" si="27"/>
        <v>0</v>
      </c>
      <c r="H45" s="37">
        <f t="shared" si="27"/>
        <v>0</v>
      </c>
      <c r="I45" s="37">
        <f t="shared" si="27"/>
        <v>0</v>
      </c>
      <c r="J45" s="37">
        <f t="shared" si="27"/>
        <v>434.03672985781986</v>
      </c>
      <c r="K45" s="37">
        <f t="shared" si="27"/>
        <v>0</v>
      </c>
      <c r="L45" s="37">
        <f t="shared" si="27"/>
        <v>0</v>
      </c>
      <c r="M45" s="37">
        <f t="shared" si="27"/>
        <v>0</v>
      </c>
      <c r="N45" s="37">
        <f t="shared" si="27"/>
        <v>0</v>
      </c>
      <c r="O45" s="37">
        <f t="shared" si="27"/>
        <v>0</v>
      </c>
      <c r="P45" s="38">
        <f t="shared" si="27"/>
        <v>0</v>
      </c>
      <c r="Q45" s="12">
        <f>SUM(D45:P45)</f>
        <v>2543.7867298578199</v>
      </c>
      <c r="R45" s="92"/>
      <c r="S45" s="92"/>
      <c r="T45" s="92"/>
      <c r="U45" s="101" t="s">
        <v>26</v>
      </c>
      <c r="V45" s="127">
        <f t="shared" ref="V45:V57" si="28">SUM(V6)</f>
        <v>2414</v>
      </c>
      <c r="W45" s="136">
        <f t="shared" ref="W45:W56" si="29">SUM(Q45)</f>
        <v>2543.7867298578199</v>
      </c>
      <c r="X45" s="129">
        <f>SUM(W45-V45)</f>
        <v>129.78672985781986</v>
      </c>
      <c r="Y45" s="92"/>
      <c r="Z45" s="92"/>
    </row>
    <row r="46" spans="2:31" x14ac:dyDescent="0.3">
      <c r="B46" s="105">
        <f>SUM(K42+1)</f>
        <v>2024</v>
      </c>
      <c r="C46" s="101" t="s">
        <v>27</v>
      </c>
      <c r="D46" s="47">
        <f t="shared" ref="D46:D56" si="30">($G$42*D7) + D7</f>
        <v>533.5</v>
      </c>
      <c r="E46" s="39">
        <f t="shared" ref="E46:P46" si="31">SUM(E27*E$44)</f>
        <v>568.19304059652029</v>
      </c>
      <c r="F46" s="40">
        <f t="shared" si="31"/>
        <v>86.50823529411764</v>
      </c>
      <c r="G46" s="40">
        <f t="shared" si="31"/>
        <v>0</v>
      </c>
      <c r="H46" s="40">
        <f t="shared" si="31"/>
        <v>0</v>
      </c>
      <c r="I46" s="40">
        <f t="shared" si="31"/>
        <v>0</v>
      </c>
      <c r="J46" s="40">
        <f t="shared" si="31"/>
        <v>0</v>
      </c>
      <c r="K46" s="40">
        <f t="shared" si="31"/>
        <v>0</v>
      </c>
      <c r="L46" s="40">
        <f t="shared" si="31"/>
        <v>0</v>
      </c>
      <c r="M46" s="40">
        <f t="shared" si="31"/>
        <v>0</v>
      </c>
      <c r="N46" s="40">
        <f t="shared" si="31"/>
        <v>0</v>
      </c>
      <c r="O46" s="40">
        <f t="shared" si="31"/>
        <v>0</v>
      </c>
      <c r="P46" s="41">
        <f t="shared" si="31"/>
        <v>0</v>
      </c>
      <c r="Q46" s="12">
        <f t="shared" ref="Q46:Q56" si="32">SUM(D46:P46)</f>
        <v>1188.201275890638</v>
      </c>
      <c r="R46" s="92"/>
      <c r="S46" s="92"/>
      <c r="T46" s="92"/>
      <c r="U46" s="101" t="s">
        <v>27</v>
      </c>
      <c r="V46" s="130">
        <f t="shared" si="28"/>
        <v>1275</v>
      </c>
      <c r="W46" s="137">
        <f t="shared" si="29"/>
        <v>1188.201275890638</v>
      </c>
      <c r="X46" s="132">
        <f t="shared" ref="X46:X57" si="33">SUM(W46-V46)</f>
        <v>-86.798724109361956</v>
      </c>
      <c r="Y46" s="92"/>
      <c r="Z46" s="92"/>
    </row>
    <row r="47" spans="2:31" x14ac:dyDescent="0.3">
      <c r="B47" s="101"/>
      <c r="C47" s="101" t="s">
        <v>28</v>
      </c>
      <c r="D47" s="47">
        <f t="shared" si="30"/>
        <v>631.47</v>
      </c>
      <c r="E47" s="39">
        <f t="shared" ref="E47:P47" si="34">SUM(E28*E$44)</f>
        <v>1147.8964374482186</v>
      </c>
      <c r="F47" s="40">
        <f t="shared" si="34"/>
        <v>492.07372549019607</v>
      </c>
      <c r="G47" s="40">
        <f t="shared" si="34"/>
        <v>380.89752527012899</v>
      </c>
      <c r="H47" s="40">
        <f t="shared" si="34"/>
        <v>0</v>
      </c>
      <c r="I47" s="40">
        <f t="shared" si="34"/>
        <v>0</v>
      </c>
      <c r="J47" s="40">
        <f t="shared" si="34"/>
        <v>1.2365718799368088</v>
      </c>
      <c r="K47" s="40">
        <f t="shared" si="34"/>
        <v>0</v>
      </c>
      <c r="L47" s="40">
        <f t="shared" si="34"/>
        <v>0</v>
      </c>
      <c r="M47" s="40">
        <f t="shared" si="34"/>
        <v>0</v>
      </c>
      <c r="N47" s="40">
        <f t="shared" si="34"/>
        <v>0</v>
      </c>
      <c r="O47" s="40">
        <f t="shared" si="34"/>
        <v>0</v>
      </c>
      <c r="P47" s="41">
        <f t="shared" si="34"/>
        <v>0</v>
      </c>
      <c r="Q47" s="12">
        <f t="shared" si="32"/>
        <v>2653.5742600884805</v>
      </c>
      <c r="R47" s="92"/>
      <c r="U47" s="101" t="s">
        <v>28</v>
      </c>
      <c r="V47" s="130">
        <f t="shared" si="28"/>
        <v>2869</v>
      </c>
      <c r="W47" s="137">
        <f t="shared" si="29"/>
        <v>2653.5742600884805</v>
      </c>
      <c r="X47" s="132">
        <f t="shared" si="33"/>
        <v>-215.42573991151949</v>
      </c>
    </row>
    <row r="48" spans="2:31" x14ac:dyDescent="0.3">
      <c r="B48" s="101"/>
      <c r="C48" s="101" t="s">
        <v>29</v>
      </c>
      <c r="D48" s="47">
        <f t="shared" si="30"/>
        <v>795.4</v>
      </c>
      <c r="E48" s="39">
        <f t="shared" ref="E48:P48" si="35">SUM(E29*E$44)</f>
        <v>61.737365368682688</v>
      </c>
      <c r="F48" s="40">
        <f t="shared" si="35"/>
        <v>61.392941176470586</v>
      </c>
      <c r="G48" s="40">
        <f t="shared" si="35"/>
        <v>1593.7800627396305</v>
      </c>
      <c r="H48" s="40">
        <f t="shared" si="35"/>
        <v>429.75346687211089</v>
      </c>
      <c r="I48" s="40">
        <f t="shared" si="35"/>
        <v>0.94763320375028581</v>
      </c>
      <c r="J48" s="40">
        <f t="shared" si="35"/>
        <v>0</v>
      </c>
      <c r="K48" s="40">
        <f t="shared" si="35"/>
        <v>0</v>
      </c>
      <c r="L48" s="40">
        <f t="shared" si="35"/>
        <v>0</v>
      </c>
      <c r="M48" s="40">
        <f t="shared" si="35"/>
        <v>0</v>
      </c>
      <c r="N48" s="40">
        <f t="shared" si="35"/>
        <v>0</v>
      </c>
      <c r="O48" s="40">
        <f t="shared" si="35"/>
        <v>0</v>
      </c>
      <c r="P48" s="41">
        <f t="shared" si="35"/>
        <v>0</v>
      </c>
      <c r="Q48" s="12">
        <f t="shared" si="32"/>
        <v>2943.0114693606447</v>
      </c>
      <c r="R48" s="92"/>
      <c r="U48" s="101" t="s">
        <v>29</v>
      </c>
      <c r="V48" s="130">
        <f t="shared" si="28"/>
        <v>3245</v>
      </c>
      <c r="W48" s="137">
        <f t="shared" si="29"/>
        <v>2943.0114693606447</v>
      </c>
      <c r="X48" s="132">
        <f t="shared" si="33"/>
        <v>-301.9885306393553</v>
      </c>
    </row>
    <row r="49" spans="2:24" x14ac:dyDescent="0.3">
      <c r="B49" s="101"/>
      <c r="C49" s="101" t="s">
        <v>30</v>
      </c>
      <c r="D49" s="47">
        <f t="shared" si="30"/>
        <v>622.74</v>
      </c>
      <c r="E49" s="39">
        <f t="shared" ref="E49:P49" si="36">SUM(E30*E$44)</f>
        <v>3.1391880695940348</v>
      </c>
      <c r="F49" s="40">
        <f t="shared" si="36"/>
        <v>0</v>
      </c>
      <c r="G49" s="40">
        <f t="shared" si="36"/>
        <v>131.02126176368071</v>
      </c>
      <c r="H49" s="40">
        <f t="shared" si="36"/>
        <v>1995.9661016949151</v>
      </c>
      <c r="I49" s="40">
        <f t="shared" si="36"/>
        <v>1196.8607363366111</v>
      </c>
      <c r="J49" s="40">
        <f t="shared" si="36"/>
        <v>7.4194312796208539</v>
      </c>
      <c r="K49" s="40">
        <f t="shared" si="36"/>
        <v>0</v>
      </c>
      <c r="L49" s="40">
        <f t="shared" si="36"/>
        <v>0</v>
      </c>
      <c r="M49" s="40">
        <f t="shared" si="36"/>
        <v>0</v>
      </c>
      <c r="N49" s="40">
        <f t="shared" si="36"/>
        <v>0</v>
      </c>
      <c r="O49" s="40">
        <f t="shared" si="36"/>
        <v>0</v>
      </c>
      <c r="P49" s="41">
        <f t="shared" si="36"/>
        <v>0</v>
      </c>
      <c r="Q49" s="12">
        <f t="shared" si="32"/>
        <v>3957.1467191444217</v>
      </c>
      <c r="R49" s="92"/>
      <c r="U49" s="101" t="s">
        <v>30</v>
      </c>
      <c r="V49" s="130">
        <f t="shared" si="28"/>
        <v>4373</v>
      </c>
      <c r="W49" s="137">
        <f t="shared" si="29"/>
        <v>3957.1467191444217</v>
      </c>
      <c r="X49" s="132">
        <f t="shared" si="33"/>
        <v>-415.8532808555783</v>
      </c>
    </row>
    <row r="50" spans="2:24" x14ac:dyDescent="0.3">
      <c r="B50" s="101"/>
      <c r="C50" s="101" t="s">
        <v>18</v>
      </c>
      <c r="D50" s="47">
        <f t="shared" si="30"/>
        <v>2494.84</v>
      </c>
      <c r="E50" s="39">
        <f t="shared" ref="E50:P50" si="37">SUM(E31*E$44)</f>
        <v>0</v>
      </c>
      <c r="F50" s="40">
        <f t="shared" si="37"/>
        <v>0</v>
      </c>
      <c r="G50" s="40">
        <f t="shared" si="37"/>
        <v>0.93586615545486229</v>
      </c>
      <c r="H50" s="40">
        <f t="shared" si="37"/>
        <v>0</v>
      </c>
      <c r="I50" s="40">
        <f t="shared" si="37"/>
        <v>15.162131260004573</v>
      </c>
      <c r="J50" s="40">
        <f t="shared" si="37"/>
        <v>665.2756714060032</v>
      </c>
      <c r="K50" s="40">
        <f t="shared" si="37"/>
        <v>3.757672804910595</v>
      </c>
      <c r="L50" s="40">
        <f t="shared" si="37"/>
        <v>0</v>
      </c>
      <c r="M50" s="40">
        <f t="shared" si="37"/>
        <v>0</v>
      </c>
      <c r="N50" s="40">
        <f t="shared" si="37"/>
        <v>0</v>
      </c>
      <c r="O50" s="40">
        <f t="shared" si="37"/>
        <v>0</v>
      </c>
      <c r="P50" s="41">
        <f t="shared" si="37"/>
        <v>0</v>
      </c>
      <c r="Q50" s="12">
        <f t="shared" si="32"/>
        <v>3179.9713416263735</v>
      </c>
      <c r="R50" s="92"/>
      <c r="U50" s="101" t="s">
        <v>18</v>
      </c>
      <c r="V50" s="130">
        <f t="shared" si="28"/>
        <v>2532</v>
      </c>
      <c r="W50" s="137">
        <f t="shared" si="29"/>
        <v>3179.9713416263735</v>
      </c>
      <c r="X50" s="132">
        <f t="shared" si="33"/>
        <v>647.97134162637349</v>
      </c>
    </row>
    <row r="51" spans="2:24" x14ac:dyDescent="0.3">
      <c r="B51" s="101"/>
      <c r="C51" s="101" t="s">
        <v>19</v>
      </c>
      <c r="D51" s="47">
        <f t="shared" si="30"/>
        <v>1420.08</v>
      </c>
      <c r="E51" s="39">
        <f t="shared" ref="E51:P51" si="38">SUM(E32*E$44)</f>
        <v>0</v>
      </c>
      <c r="F51" s="40">
        <f t="shared" si="38"/>
        <v>0</v>
      </c>
      <c r="G51" s="40">
        <f t="shared" si="38"/>
        <v>0</v>
      </c>
      <c r="H51" s="40">
        <f t="shared" si="38"/>
        <v>7.6400616332819729</v>
      </c>
      <c r="I51" s="40">
        <f t="shared" si="38"/>
        <v>197.10770638005945</v>
      </c>
      <c r="J51" s="40">
        <f t="shared" si="38"/>
        <v>6.1828593996840437</v>
      </c>
      <c r="K51" s="40">
        <f t="shared" si="38"/>
        <v>1720.074726447825</v>
      </c>
      <c r="L51" s="40">
        <f t="shared" si="38"/>
        <v>0</v>
      </c>
      <c r="M51" s="40">
        <f t="shared" si="38"/>
        <v>0</v>
      </c>
      <c r="N51" s="40">
        <f t="shared" si="38"/>
        <v>0</v>
      </c>
      <c r="O51" s="40">
        <f t="shared" si="38"/>
        <v>2.9228187919463084</v>
      </c>
      <c r="P51" s="41">
        <f t="shared" si="38"/>
        <v>1.1593625498007969</v>
      </c>
      <c r="Q51" s="12">
        <f t="shared" si="32"/>
        <v>3355.1675352025973</v>
      </c>
      <c r="R51" s="92"/>
      <c r="U51" s="101" t="s">
        <v>19</v>
      </c>
      <c r="V51" s="130">
        <f t="shared" si="28"/>
        <v>3747</v>
      </c>
      <c r="W51" s="137">
        <f t="shared" si="29"/>
        <v>3355.1675352025973</v>
      </c>
      <c r="X51" s="132">
        <f t="shared" si="33"/>
        <v>-391.83246479740274</v>
      </c>
    </row>
    <row r="52" spans="2:24" x14ac:dyDescent="0.3">
      <c r="B52" s="101"/>
      <c r="C52" s="101" t="s">
        <v>31</v>
      </c>
      <c r="D52" s="47">
        <f t="shared" si="30"/>
        <v>70.81</v>
      </c>
      <c r="E52" s="39">
        <f t="shared" ref="E52:P52" si="39">SUM(E33*E$44)</f>
        <v>0</v>
      </c>
      <c r="F52" s="40">
        <f t="shared" si="39"/>
        <v>0</v>
      </c>
      <c r="G52" s="40">
        <f t="shared" si="39"/>
        <v>0</v>
      </c>
      <c r="H52" s="40">
        <f t="shared" si="39"/>
        <v>0.95500770416024661</v>
      </c>
      <c r="I52" s="40">
        <f t="shared" si="39"/>
        <v>1.8952664075005716</v>
      </c>
      <c r="J52" s="40">
        <f t="shared" si="39"/>
        <v>0</v>
      </c>
      <c r="K52" s="40">
        <f t="shared" si="39"/>
        <v>0</v>
      </c>
      <c r="L52" s="40">
        <f t="shared" si="39"/>
        <v>3.3583815028901736</v>
      </c>
      <c r="M52" s="40">
        <f t="shared" si="39"/>
        <v>0</v>
      </c>
      <c r="N52" s="40">
        <f t="shared" si="39"/>
        <v>0</v>
      </c>
      <c r="O52" s="40">
        <f t="shared" si="39"/>
        <v>0</v>
      </c>
      <c r="P52" s="41">
        <f t="shared" si="39"/>
        <v>0</v>
      </c>
      <c r="Q52" s="12">
        <f t="shared" si="32"/>
        <v>77.018655614550994</v>
      </c>
      <c r="R52" s="92"/>
      <c r="U52" s="101" t="s">
        <v>31</v>
      </c>
      <c r="V52" s="130">
        <f t="shared" si="28"/>
        <v>173</v>
      </c>
      <c r="W52" s="137">
        <f t="shared" si="29"/>
        <v>77.018655614550994</v>
      </c>
      <c r="X52" s="132">
        <f t="shared" si="33"/>
        <v>-95.981344385449006</v>
      </c>
    </row>
    <row r="53" spans="2:24" x14ac:dyDescent="0.3">
      <c r="B53" s="101"/>
      <c r="C53" s="101" t="s">
        <v>32</v>
      </c>
      <c r="D53" s="47">
        <f t="shared" si="30"/>
        <v>0</v>
      </c>
      <c r="E53" s="39">
        <f t="shared" ref="E53:P53" si="40">SUM(E34*E$44)</f>
        <v>0</v>
      </c>
      <c r="F53" s="40">
        <f t="shared" si="40"/>
        <v>0</v>
      </c>
      <c r="G53" s="40">
        <f t="shared" si="40"/>
        <v>0</v>
      </c>
      <c r="H53" s="40">
        <f t="shared" si="40"/>
        <v>0</v>
      </c>
      <c r="I53" s="40">
        <f t="shared" si="40"/>
        <v>0.94763320375028581</v>
      </c>
      <c r="J53" s="40">
        <f t="shared" si="40"/>
        <v>0</v>
      </c>
      <c r="K53" s="40">
        <f t="shared" si="40"/>
        <v>0</v>
      </c>
      <c r="L53" s="40">
        <f t="shared" si="40"/>
        <v>49.416184971098261</v>
      </c>
      <c r="M53" s="40">
        <f t="shared" si="40"/>
        <v>1.640625</v>
      </c>
      <c r="N53" s="40">
        <f t="shared" si="40"/>
        <v>0</v>
      </c>
      <c r="O53" s="40">
        <f t="shared" si="40"/>
        <v>0</v>
      </c>
      <c r="P53" s="41">
        <f t="shared" si="40"/>
        <v>0</v>
      </c>
      <c r="Q53" s="12">
        <f t="shared" si="32"/>
        <v>52.004443174848547</v>
      </c>
      <c r="R53" s="92"/>
      <c r="U53" s="101" t="s">
        <v>32</v>
      </c>
      <c r="V53" s="130">
        <f t="shared" si="28"/>
        <v>64</v>
      </c>
      <c r="W53" s="137">
        <f t="shared" si="29"/>
        <v>52.004443174848547</v>
      </c>
      <c r="X53" s="132">
        <f t="shared" si="33"/>
        <v>-11.995556825151453</v>
      </c>
    </row>
    <row r="54" spans="2:24" x14ac:dyDescent="0.3">
      <c r="B54" s="101"/>
      <c r="C54" s="101" t="s">
        <v>33</v>
      </c>
      <c r="D54" s="47">
        <f t="shared" si="30"/>
        <v>0.97</v>
      </c>
      <c r="E54" s="39">
        <f t="shared" ref="E54:P54" si="41">SUM(E35*E$44)</f>
        <v>0</v>
      </c>
      <c r="F54" s="40">
        <f t="shared" si="41"/>
        <v>0</v>
      </c>
      <c r="G54" s="40">
        <f t="shared" si="41"/>
        <v>0</v>
      </c>
      <c r="H54" s="40">
        <f t="shared" si="41"/>
        <v>0</v>
      </c>
      <c r="I54" s="40">
        <f t="shared" si="41"/>
        <v>0</v>
      </c>
      <c r="J54" s="40">
        <f t="shared" si="41"/>
        <v>0</v>
      </c>
      <c r="K54" s="40">
        <f t="shared" si="41"/>
        <v>0</v>
      </c>
      <c r="L54" s="40">
        <f t="shared" si="41"/>
        <v>22.549132947976876</v>
      </c>
      <c r="M54" s="40">
        <f t="shared" si="41"/>
        <v>72.1875</v>
      </c>
      <c r="N54" s="40">
        <f t="shared" si="41"/>
        <v>3.5625</v>
      </c>
      <c r="O54" s="40">
        <f t="shared" si="41"/>
        <v>0</v>
      </c>
      <c r="P54" s="41">
        <f t="shared" si="41"/>
        <v>0</v>
      </c>
      <c r="Q54" s="12">
        <f t="shared" si="32"/>
        <v>99.269132947976871</v>
      </c>
      <c r="R54" s="92"/>
      <c r="U54" s="101" t="s">
        <v>33</v>
      </c>
      <c r="V54" s="130">
        <f t="shared" si="28"/>
        <v>80</v>
      </c>
      <c r="W54" s="137">
        <f t="shared" si="29"/>
        <v>99.269132947976871</v>
      </c>
      <c r="X54" s="132">
        <f t="shared" si="33"/>
        <v>19.269132947976871</v>
      </c>
    </row>
    <row r="55" spans="2:24" x14ac:dyDescent="0.3">
      <c r="B55" s="101"/>
      <c r="C55" s="101" t="s">
        <v>34</v>
      </c>
      <c r="D55" s="47">
        <f t="shared" si="30"/>
        <v>258.99</v>
      </c>
      <c r="E55" s="39">
        <f t="shared" ref="E55:P55" si="42">SUM(E36*E$44)</f>
        <v>0</v>
      </c>
      <c r="F55" s="40">
        <f t="shared" si="42"/>
        <v>0</v>
      </c>
      <c r="G55" s="40">
        <f t="shared" si="42"/>
        <v>0</v>
      </c>
      <c r="H55" s="40">
        <f t="shared" si="42"/>
        <v>0</v>
      </c>
      <c r="I55" s="40">
        <f t="shared" si="42"/>
        <v>8.5286988337525731</v>
      </c>
      <c r="J55" s="40">
        <f t="shared" si="42"/>
        <v>0</v>
      </c>
      <c r="K55" s="40">
        <f t="shared" si="42"/>
        <v>29.12196423805711</v>
      </c>
      <c r="L55" s="40">
        <f t="shared" si="42"/>
        <v>0</v>
      </c>
      <c r="M55" s="40">
        <f t="shared" si="42"/>
        <v>0</v>
      </c>
      <c r="N55" s="40">
        <f t="shared" si="42"/>
        <v>0</v>
      </c>
      <c r="O55" s="40">
        <f t="shared" si="42"/>
        <v>546.56711409395973</v>
      </c>
      <c r="P55" s="41">
        <f t="shared" si="42"/>
        <v>3.4780876494023905</v>
      </c>
      <c r="Q55" s="12">
        <f t="shared" si="32"/>
        <v>846.68586481517173</v>
      </c>
      <c r="R55" s="92"/>
      <c r="U55" s="101" t="s">
        <v>34</v>
      </c>
      <c r="V55" s="130">
        <f t="shared" si="28"/>
        <v>894</v>
      </c>
      <c r="W55" s="137">
        <f t="shared" si="29"/>
        <v>846.68586481517173</v>
      </c>
      <c r="X55" s="132">
        <f t="shared" si="33"/>
        <v>-47.314135184828274</v>
      </c>
    </row>
    <row r="56" spans="2:24" x14ac:dyDescent="0.3">
      <c r="B56" s="101"/>
      <c r="C56" s="101" t="s">
        <v>35</v>
      </c>
      <c r="D56" s="47">
        <f t="shared" si="30"/>
        <v>10.67</v>
      </c>
      <c r="E56" s="39">
        <f t="shared" ref="E56:P56" si="43">SUM(E37*E$44)</f>
        <v>0</v>
      </c>
      <c r="F56" s="40">
        <f t="shared" si="43"/>
        <v>0</v>
      </c>
      <c r="G56" s="40">
        <f t="shared" si="43"/>
        <v>0</v>
      </c>
      <c r="H56" s="40">
        <f t="shared" si="43"/>
        <v>0</v>
      </c>
      <c r="I56" s="40">
        <f t="shared" si="43"/>
        <v>0</v>
      </c>
      <c r="J56" s="40">
        <f t="shared" si="43"/>
        <v>0</v>
      </c>
      <c r="K56" s="40">
        <f t="shared" si="43"/>
        <v>0.93941820122764874</v>
      </c>
      <c r="L56" s="40">
        <f t="shared" si="43"/>
        <v>0</v>
      </c>
      <c r="M56" s="40">
        <f t="shared" si="43"/>
        <v>0</v>
      </c>
      <c r="N56" s="40">
        <f t="shared" si="43"/>
        <v>0</v>
      </c>
      <c r="O56" s="40">
        <f t="shared" si="43"/>
        <v>130.55257270693511</v>
      </c>
      <c r="P56" s="41">
        <f t="shared" si="43"/>
        <v>168.10756972111554</v>
      </c>
      <c r="Q56" s="12">
        <f t="shared" si="32"/>
        <v>310.26956062927832</v>
      </c>
      <c r="R56" s="92"/>
      <c r="U56" s="101" t="s">
        <v>35</v>
      </c>
      <c r="V56" s="133">
        <f t="shared" si="28"/>
        <v>251</v>
      </c>
      <c r="W56" s="138">
        <f t="shared" si="29"/>
        <v>310.26956062927832</v>
      </c>
      <c r="X56" s="134">
        <f t="shared" si="33"/>
        <v>59.269560629278317</v>
      </c>
    </row>
    <row r="57" spans="2:24" x14ac:dyDescent="0.3">
      <c r="B57" s="92"/>
      <c r="C57" s="12" t="s">
        <v>36</v>
      </c>
      <c r="D57" s="47" t="s">
        <v>11</v>
      </c>
      <c r="E57" s="39">
        <f t="shared" ref="E57:P57" si="44">SUM(E38*E$44)</f>
        <v>0</v>
      </c>
      <c r="F57" s="40">
        <f t="shared" si="44"/>
        <v>0</v>
      </c>
      <c r="G57" s="40">
        <f t="shared" si="44"/>
        <v>0.93586615545486229</v>
      </c>
      <c r="H57" s="40">
        <f t="shared" si="44"/>
        <v>189.09152542372883</v>
      </c>
      <c r="I57" s="40">
        <f t="shared" si="44"/>
        <v>2218.4093299794195</v>
      </c>
      <c r="J57" s="40">
        <f t="shared" si="44"/>
        <v>0</v>
      </c>
      <c r="K57" s="40">
        <f t="shared" si="44"/>
        <v>1164.8785695222844</v>
      </c>
      <c r="L57" s="40">
        <f t="shared" si="44"/>
        <v>0</v>
      </c>
      <c r="M57" s="40">
        <f t="shared" si="44"/>
        <v>27.890625</v>
      </c>
      <c r="N57" s="40">
        <f t="shared" si="44"/>
        <v>91.4375</v>
      </c>
      <c r="O57" s="40">
        <f t="shared" si="44"/>
        <v>72.096196868008946</v>
      </c>
      <c r="P57" s="41">
        <f t="shared" si="44"/>
        <v>96.227091633466131</v>
      </c>
      <c r="Q57" s="92"/>
      <c r="R57" s="66">
        <f>SUM(E57:P57)</f>
        <v>3860.9667045823626</v>
      </c>
      <c r="S57" s="140">
        <f>R57/Q44</f>
        <v>0.17763004713757649</v>
      </c>
      <c r="V57" s="92">
        <f t="shared" si="28"/>
        <v>21917</v>
      </c>
      <c r="W57" s="139">
        <f>SUM(W45:W56)</f>
        <v>21206.106988352807</v>
      </c>
      <c r="X57" s="126">
        <f t="shared" si="33"/>
        <v>-710.89301164719291</v>
      </c>
    </row>
    <row r="58" spans="2:24" x14ac:dyDescent="0.3">
      <c r="B58" s="92"/>
      <c r="C58" s="12" t="s">
        <v>37</v>
      </c>
      <c r="D58" s="47" t="s">
        <v>11</v>
      </c>
      <c r="E58" s="42">
        <f t="shared" ref="E58:P58" si="45">SUM(E39*E$44)</f>
        <v>745.03396851698415</v>
      </c>
      <c r="F58" s="43">
        <f t="shared" si="45"/>
        <v>546.02509803921566</v>
      </c>
      <c r="G58" s="43">
        <f t="shared" si="45"/>
        <v>577.42941791565022</v>
      </c>
      <c r="H58" s="43">
        <f t="shared" si="45"/>
        <v>475.59383667180276</v>
      </c>
      <c r="I58" s="43">
        <f t="shared" si="45"/>
        <v>504.14086439515222</v>
      </c>
      <c r="J58" s="43">
        <f t="shared" si="45"/>
        <v>2016.8487361769351</v>
      </c>
      <c r="K58" s="43">
        <f t="shared" si="45"/>
        <v>601.22764878569546</v>
      </c>
      <c r="L58" s="43">
        <f t="shared" si="45"/>
        <v>7.6763005780346782</v>
      </c>
      <c r="M58" s="43">
        <f t="shared" si="45"/>
        <v>3.28125</v>
      </c>
      <c r="N58" s="43">
        <f t="shared" si="45"/>
        <v>0</v>
      </c>
      <c r="O58" s="43">
        <f t="shared" si="45"/>
        <v>118.86129753914985</v>
      </c>
      <c r="P58" s="44">
        <f t="shared" si="45"/>
        <v>22.027888446215119</v>
      </c>
      <c r="Q58" s="92"/>
      <c r="R58" s="66">
        <f>SUM(E58:P58)</f>
        <v>5618.1463070648351</v>
      </c>
      <c r="S58" s="140">
        <f>R58/Q44</f>
        <v>0.25847195008579477</v>
      </c>
    </row>
    <row r="59" spans="2:24" x14ac:dyDescent="0.3">
      <c r="B59" s="92"/>
      <c r="C59" s="18" t="s">
        <v>25</v>
      </c>
      <c r="D59" s="12">
        <f>SUM(D45:D58)</f>
        <v>8949.2199999999993</v>
      </c>
      <c r="E59" s="12" t="s">
        <v>11</v>
      </c>
      <c r="F59" s="12" t="s">
        <v>11</v>
      </c>
      <c r="G59" s="12" t="s">
        <v>11</v>
      </c>
      <c r="H59" s="12" t="s">
        <v>11</v>
      </c>
      <c r="I59" s="12" t="s">
        <v>11</v>
      </c>
      <c r="J59" s="12" t="s">
        <v>11</v>
      </c>
      <c r="K59" s="12" t="s">
        <v>11</v>
      </c>
      <c r="L59" s="12" t="s">
        <v>11</v>
      </c>
      <c r="M59" s="12" t="s">
        <v>11</v>
      </c>
      <c r="N59" s="12" t="s">
        <v>11</v>
      </c>
      <c r="O59" s="12" t="s">
        <v>39</v>
      </c>
      <c r="P59" s="92"/>
      <c r="Q59" s="13">
        <f>SUM(Q45:Q56)</f>
        <v>21206.106988352807</v>
      </c>
      <c r="R59" s="92"/>
      <c r="S59" s="92"/>
    </row>
    <row r="60" spans="2:24" x14ac:dyDescent="0.3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12" t="s">
        <v>40</v>
      </c>
      <c r="Q60" s="92"/>
      <c r="R60" s="12">
        <f>SUM(R57:R58)</f>
        <v>9479.1130116471977</v>
      </c>
      <c r="S60" s="140">
        <f>R60/Q44</f>
        <v>0.43610199722337128</v>
      </c>
    </row>
    <row r="61" spans="2:24" s="108" customFormat="1" x14ac:dyDescent="0.3">
      <c r="B61" s="106"/>
      <c r="C61" s="106"/>
      <c r="D61" s="110" t="s">
        <v>41</v>
      </c>
      <c r="E61" s="111">
        <f t="shared" ref="E61:P61" si="46">SUM(E45:E57)/E44</f>
        <v>0.70505385252692621</v>
      </c>
      <c r="F61" s="111">
        <f t="shared" si="46"/>
        <v>0.53960784313725485</v>
      </c>
      <c r="G61" s="111">
        <f t="shared" si="46"/>
        <v>0.784942488672011</v>
      </c>
      <c r="H61" s="111">
        <f t="shared" si="46"/>
        <v>0.8465331278890601</v>
      </c>
      <c r="I61" s="111">
        <f t="shared" si="46"/>
        <v>0.87834438600503095</v>
      </c>
      <c r="J61" s="111">
        <f t="shared" si="46"/>
        <v>0.35584518167456564</v>
      </c>
      <c r="K61" s="111">
        <f t="shared" si="46"/>
        <v>0.82919669068588209</v>
      </c>
      <c r="L61" s="111">
        <f t="shared" si="46"/>
        <v>0.90751445086705196</v>
      </c>
      <c r="M61" s="111">
        <f t="shared" si="46"/>
        <v>0.96875</v>
      </c>
      <c r="N61" s="111">
        <f t="shared" si="46"/>
        <v>1</v>
      </c>
      <c r="O61" s="111">
        <f t="shared" si="46"/>
        <v>0.86353467561521247</v>
      </c>
      <c r="P61" s="111">
        <f t="shared" si="46"/>
        <v>0.92430278884462158</v>
      </c>
      <c r="Q61" s="111">
        <f>SUM(E45:P57)/Q44</f>
        <v>0.74152804991420507</v>
      </c>
      <c r="R61" s="106"/>
    </row>
    <row r="62" spans="2:24" x14ac:dyDescent="0.3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54" t="s">
        <v>11</v>
      </c>
      <c r="R62" s="12" t="s">
        <v>11</v>
      </c>
      <c r="S62" s="92"/>
      <c r="T62" s="92"/>
    </row>
    <row r="63" spans="2:24" x14ac:dyDescent="0.3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55" t="s">
        <v>11</v>
      </c>
      <c r="R63" s="92"/>
      <c r="S63" s="92"/>
      <c r="T63" s="92"/>
    </row>
    <row r="64" spans="2:24" x14ac:dyDescent="0.3">
      <c r="B64" s="32" t="s">
        <v>45</v>
      </c>
      <c r="C64" s="13"/>
      <c r="D64" s="33"/>
      <c r="E64" s="13"/>
      <c r="F64" s="92"/>
      <c r="G64" s="45">
        <f>G42</f>
        <v>-0.03</v>
      </c>
      <c r="H64" s="92"/>
      <c r="I64" s="92"/>
      <c r="J64" s="115" t="s">
        <v>46</v>
      </c>
      <c r="K64" s="115">
        <f>SUM(B46)</f>
        <v>2024</v>
      </c>
      <c r="L64" s="92"/>
      <c r="M64" s="92"/>
      <c r="N64" s="92"/>
      <c r="O64" s="92"/>
      <c r="P64" s="92"/>
      <c r="Q64" s="92"/>
      <c r="R64" s="92"/>
      <c r="S64" s="92"/>
      <c r="T64" s="92"/>
    </row>
    <row r="65" spans="2:24" ht="26.25" x14ac:dyDescent="0.3">
      <c r="B65" s="92"/>
      <c r="C65" s="15" t="s">
        <v>47</v>
      </c>
      <c r="D65" s="35" t="s">
        <v>44</v>
      </c>
      <c r="E65" s="116" t="s">
        <v>13</v>
      </c>
      <c r="F65" s="116" t="s">
        <v>14</v>
      </c>
      <c r="G65" s="116" t="s">
        <v>15</v>
      </c>
      <c r="H65" s="116" t="s">
        <v>16</v>
      </c>
      <c r="I65" s="116" t="s">
        <v>17</v>
      </c>
      <c r="J65" s="98" t="s">
        <v>18</v>
      </c>
      <c r="K65" s="116" t="s">
        <v>19</v>
      </c>
      <c r="L65" s="116" t="s">
        <v>20</v>
      </c>
      <c r="M65" s="116" t="s">
        <v>21</v>
      </c>
      <c r="N65" s="116" t="s">
        <v>22</v>
      </c>
      <c r="O65" s="116" t="s">
        <v>23</v>
      </c>
      <c r="P65" s="116" t="s">
        <v>24</v>
      </c>
      <c r="Q65" s="53" t="s">
        <v>25</v>
      </c>
      <c r="R65" s="92"/>
      <c r="S65" s="12" t="s">
        <v>11</v>
      </c>
      <c r="T65" s="12"/>
    </row>
    <row r="66" spans="2:24" x14ac:dyDescent="0.3">
      <c r="B66" s="92"/>
      <c r="C66" s="15"/>
      <c r="D66" s="35"/>
      <c r="E66" s="114">
        <f>SUM(Q45)</f>
        <v>2543.7867298578199</v>
      </c>
      <c r="F66" s="114">
        <f>SUM(Q46)</f>
        <v>1188.201275890638</v>
      </c>
      <c r="G66" s="114">
        <f>SUM(Q47)</f>
        <v>2653.5742600884805</v>
      </c>
      <c r="H66" s="114">
        <f>SUM(Q48)</f>
        <v>2943.0114693606447</v>
      </c>
      <c r="I66" s="114">
        <f>SUM(Q49)</f>
        <v>3957.1467191444217</v>
      </c>
      <c r="J66" s="114">
        <f>SUM(Q50)</f>
        <v>3179.9713416263735</v>
      </c>
      <c r="K66" s="114">
        <f>SUM(Q51)</f>
        <v>3355.1675352025973</v>
      </c>
      <c r="L66" s="114">
        <f>SUM(Q52)</f>
        <v>77.018655614550994</v>
      </c>
      <c r="M66" s="114">
        <f>SUM(Q53)</f>
        <v>52.004443174848547</v>
      </c>
      <c r="N66" s="114">
        <f>SUM(Q54)</f>
        <v>99.269132947976871</v>
      </c>
      <c r="O66" s="114">
        <f>SUM(Q55)</f>
        <v>846.68586481517173</v>
      </c>
      <c r="P66" s="114">
        <f>SUM(Q56)</f>
        <v>310.26956062927832</v>
      </c>
      <c r="Q66" s="117">
        <f>SUM(E66:P66)</f>
        <v>21206.106988352807</v>
      </c>
      <c r="R66" s="92"/>
      <c r="S66" s="92"/>
      <c r="T66" s="92"/>
      <c r="V66" s="13">
        <f>SUM(V44)</f>
        <v>2022</v>
      </c>
      <c r="W66" s="13">
        <f>SUM(B68)</f>
        <v>2025</v>
      </c>
      <c r="X66" s="135" t="s">
        <v>61</v>
      </c>
    </row>
    <row r="67" spans="2:24" x14ac:dyDescent="0.3">
      <c r="B67" s="104" t="s">
        <v>8</v>
      </c>
      <c r="C67" s="101" t="s">
        <v>26</v>
      </c>
      <c r="D67" s="47">
        <f>($G$64*D6) + D6</f>
        <v>2109.75</v>
      </c>
      <c r="E67" s="36">
        <f t="shared" ref="E67:P67" si="47">SUM(E26*E$66)</f>
        <v>0</v>
      </c>
      <c r="F67" s="37">
        <f t="shared" si="47"/>
        <v>0</v>
      </c>
      <c r="G67" s="37">
        <f t="shared" si="47"/>
        <v>0</v>
      </c>
      <c r="H67" s="37">
        <f t="shared" si="47"/>
        <v>0</v>
      </c>
      <c r="I67" s="37">
        <f t="shared" si="47"/>
        <v>0</v>
      </c>
      <c r="J67" s="37">
        <f t="shared" si="47"/>
        <v>440.82541110223423</v>
      </c>
      <c r="K67" s="37">
        <f t="shared" si="47"/>
        <v>0</v>
      </c>
      <c r="L67" s="37">
        <f t="shared" si="47"/>
        <v>0</v>
      </c>
      <c r="M67" s="37">
        <f t="shared" si="47"/>
        <v>0</v>
      </c>
      <c r="N67" s="37">
        <f t="shared" si="47"/>
        <v>0</v>
      </c>
      <c r="O67" s="37">
        <f t="shared" si="47"/>
        <v>0</v>
      </c>
      <c r="P67" s="38">
        <f t="shared" si="47"/>
        <v>0</v>
      </c>
      <c r="Q67" s="12">
        <f>SUM(D67:P67)</f>
        <v>2550.5754111022343</v>
      </c>
      <c r="R67" s="92"/>
      <c r="S67" s="92"/>
      <c r="T67" s="92"/>
      <c r="U67" s="101" t="s">
        <v>26</v>
      </c>
      <c r="V67" s="127">
        <f>SUM(V45)</f>
        <v>2414</v>
      </c>
      <c r="W67" s="136">
        <f t="shared" ref="W67:W78" si="48">SUM(Q67)</f>
        <v>2550.5754111022343</v>
      </c>
      <c r="X67" s="129">
        <f>SUM(W67-V67)</f>
        <v>136.57541110223428</v>
      </c>
    </row>
    <row r="68" spans="2:24" x14ac:dyDescent="0.3">
      <c r="B68" s="105">
        <f>SUM(K64+1)</f>
        <v>2025</v>
      </c>
      <c r="C68" s="101" t="s">
        <v>27</v>
      </c>
      <c r="D68" s="47">
        <f t="shared" ref="D68:D78" si="49">($G$64*D7) + D7</f>
        <v>533.5</v>
      </c>
      <c r="E68" s="39">
        <f t="shared" ref="E68:P68" si="50">SUM(E27*E$66)</f>
        <v>572.19394959105068</v>
      </c>
      <c r="F68" s="40">
        <f t="shared" si="50"/>
        <v>86.668798947317129</v>
      </c>
      <c r="G68" s="40">
        <f t="shared" si="50"/>
        <v>0</v>
      </c>
      <c r="H68" s="40">
        <f t="shared" si="50"/>
        <v>0</v>
      </c>
      <c r="I68" s="40">
        <f t="shared" si="50"/>
        <v>0</v>
      </c>
      <c r="J68" s="40">
        <f t="shared" si="50"/>
        <v>0</v>
      </c>
      <c r="K68" s="40">
        <f t="shared" si="50"/>
        <v>0</v>
      </c>
      <c r="L68" s="40">
        <f t="shared" si="50"/>
        <v>0</v>
      </c>
      <c r="M68" s="40">
        <f t="shared" si="50"/>
        <v>0</v>
      </c>
      <c r="N68" s="40">
        <f t="shared" si="50"/>
        <v>0</v>
      </c>
      <c r="O68" s="40">
        <f t="shared" si="50"/>
        <v>0</v>
      </c>
      <c r="P68" s="41">
        <f t="shared" si="50"/>
        <v>0</v>
      </c>
      <c r="Q68" s="12">
        <f t="shared" ref="Q68:Q78" si="51">SUM(D68:P68)</f>
        <v>1192.3627485383677</v>
      </c>
      <c r="R68" s="92"/>
      <c r="S68" s="92"/>
      <c r="T68" s="92"/>
      <c r="U68" s="101" t="s">
        <v>27</v>
      </c>
      <c r="V68" s="130">
        <f t="shared" ref="V68:V79" si="52">SUM(V46)</f>
        <v>1275</v>
      </c>
      <c r="W68" s="137">
        <f t="shared" si="48"/>
        <v>1192.3627485383677</v>
      </c>
      <c r="X68" s="132">
        <f t="shared" ref="X68:X79" si="53">SUM(W68-V68)</f>
        <v>-82.637251461632331</v>
      </c>
    </row>
    <row r="69" spans="2:24" x14ac:dyDescent="0.3">
      <c r="B69" s="107"/>
      <c r="C69" s="101" t="s">
        <v>28</v>
      </c>
      <c r="D69" s="47">
        <f t="shared" si="49"/>
        <v>631.47</v>
      </c>
      <c r="E69" s="39">
        <f t="shared" ref="E69:P69" si="54">SUM(E28*E$66)</f>
        <v>1155.9793051590839</v>
      </c>
      <c r="F69" s="40">
        <f t="shared" si="54"/>
        <v>492.98703917344903</v>
      </c>
      <c r="G69" s="40">
        <f t="shared" si="54"/>
        <v>376.4394297162815</v>
      </c>
      <c r="H69" s="40">
        <f t="shared" si="54"/>
        <v>0</v>
      </c>
      <c r="I69" s="40">
        <f t="shared" si="54"/>
        <v>0</v>
      </c>
      <c r="J69" s="40">
        <f t="shared" si="54"/>
        <v>1.2559128521431175</v>
      </c>
      <c r="K69" s="40">
        <f t="shared" si="54"/>
        <v>0</v>
      </c>
      <c r="L69" s="40">
        <f t="shared" si="54"/>
        <v>0</v>
      </c>
      <c r="M69" s="40">
        <f t="shared" si="54"/>
        <v>0</v>
      </c>
      <c r="N69" s="40">
        <f t="shared" si="54"/>
        <v>0</v>
      </c>
      <c r="O69" s="40">
        <f t="shared" si="54"/>
        <v>0</v>
      </c>
      <c r="P69" s="41">
        <f t="shared" si="54"/>
        <v>0</v>
      </c>
      <c r="Q69" s="12">
        <f t="shared" si="51"/>
        <v>2658.1316869009574</v>
      </c>
      <c r="R69" s="92"/>
      <c r="S69" s="92"/>
      <c r="T69" s="92"/>
      <c r="U69" s="101" t="s">
        <v>28</v>
      </c>
      <c r="V69" s="130">
        <f t="shared" si="52"/>
        <v>2869</v>
      </c>
      <c r="W69" s="137">
        <f t="shared" si="48"/>
        <v>2658.1316869009574</v>
      </c>
      <c r="X69" s="132">
        <f t="shared" si="53"/>
        <v>-210.86831309904255</v>
      </c>
    </row>
    <row r="70" spans="2:24" x14ac:dyDescent="0.3">
      <c r="B70" s="107"/>
      <c r="C70" s="101" t="s">
        <v>29</v>
      </c>
      <c r="D70" s="47">
        <f t="shared" si="49"/>
        <v>795.4</v>
      </c>
      <c r="E70" s="39">
        <f t="shared" ref="E70:P70" si="55">SUM(E29*E$66)</f>
        <v>62.172086603815814</v>
      </c>
      <c r="F70" s="40">
        <f t="shared" si="55"/>
        <v>61.50688957551538</v>
      </c>
      <c r="G70" s="40">
        <f t="shared" si="55"/>
        <v>1575.126164144539</v>
      </c>
      <c r="H70" s="40">
        <f t="shared" si="55"/>
        <v>408.12177541210787</v>
      </c>
      <c r="I70" s="40">
        <f t="shared" si="55"/>
        <v>0.90490434922122609</v>
      </c>
      <c r="J70" s="40">
        <f t="shared" si="55"/>
        <v>0</v>
      </c>
      <c r="K70" s="40">
        <f t="shared" si="55"/>
        <v>0</v>
      </c>
      <c r="L70" s="40">
        <f t="shared" si="55"/>
        <v>0</v>
      </c>
      <c r="M70" s="40">
        <f t="shared" si="55"/>
        <v>0</v>
      </c>
      <c r="N70" s="40">
        <f t="shared" si="55"/>
        <v>0</v>
      </c>
      <c r="O70" s="40">
        <f t="shared" si="55"/>
        <v>0</v>
      </c>
      <c r="P70" s="41">
        <f t="shared" si="55"/>
        <v>0</v>
      </c>
      <c r="Q70" s="12">
        <f t="shared" si="51"/>
        <v>2903.2318200851996</v>
      </c>
      <c r="R70" s="92"/>
      <c r="S70" s="92"/>
      <c r="T70" s="92"/>
      <c r="U70" s="101" t="s">
        <v>29</v>
      </c>
      <c r="V70" s="130">
        <f t="shared" si="52"/>
        <v>3245</v>
      </c>
      <c r="W70" s="137">
        <f t="shared" si="48"/>
        <v>2903.2318200851996</v>
      </c>
      <c r="X70" s="132">
        <f t="shared" si="53"/>
        <v>-341.76817991480038</v>
      </c>
    </row>
    <row r="71" spans="2:24" x14ac:dyDescent="0.3">
      <c r="B71" s="107"/>
      <c r="C71" s="101" t="s">
        <v>30</v>
      </c>
      <c r="D71" s="47">
        <f t="shared" si="49"/>
        <v>622.74</v>
      </c>
      <c r="E71" s="39">
        <f t="shared" ref="E71:P71" si="56">SUM(E30*E$66)</f>
        <v>3.1612925391770754</v>
      </c>
      <c r="F71" s="40">
        <f t="shared" si="56"/>
        <v>0</v>
      </c>
      <c r="G71" s="40">
        <f t="shared" si="56"/>
        <v>129.48776452157102</v>
      </c>
      <c r="H71" s="40">
        <f t="shared" si="56"/>
        <v>1895.4989124695676</v>
      </c>
      <c r="I71" s="40">
        <f t="shared" si="56"/>
        <v>1142.8941930664087</v>
      </c>
      <c r="J71" s="40">
        <f t="shared" si="56"/>
        <v>7.5354771128587057</v>
      </c>
      <c r="K71" s="40">
        <f t="shared" si="56"/>
        <v>0</v>
      </c>
      <c r="L71" s="40">
        <f t="shared" si="56"/>
        <v>0</v>
      </c>
      <c r="M71" s="40">
        <f t="shared" si="56"/>
        <v>0</v>
      </c>
      <c r="N71" s="40">
        <f t="shared" si="56"/>
        <v>0</v>
      </c>
      <c r="O71" s="40">
        <f t="shared" si="56"/>
        <v>0</v>
      </c>
      <c r="P71" s="41">
        <f t="shared" si="56"/>
        <v>0</v>
      </c>
      <c r="Q71" s="12">
        <f t="shared" si="51"/>
        <v>3801.3176397095831</v>
      </c>
      <c r="R71" s="92"/>
      <c r="S71" s="92"/>
      <c r="T71" s="92"/>
      <c r="U71" s="101" t="s">
        <v>30</v>
      </c>
      <c r="V71" s="130">
        <f t="shared" si="52"/>
        <v>4373</v>
      </c>
      <c r="W71" s="137">
        <f t="shared" si="48"/>
        <v>3801.3176397095831</v>
      </c>
      <c r="X71" s="132">
        <f t="shared" si="53"/>
        <v>-571.68236029041691</v>
      </c>
    </row>
    <row r="72" spans="2:24" x14ac:dyDescent="0.3">
      <c r="B72" s="107"/>
      <c r="C72" s="101" t="s">
        <v>18</v>
      </c>
      <c r="D72" s="47">
        <f t="shared" si="49"/>
        <v>2494.84</v>
      </c>
      <c r="E72" s="39">
        <f t="shared" ref="E72:P72" si="57">SUM(E31*E$66)</f>
        <v>0</v>
      </c>
      <c r="F72" s="40">
        <f t="shared" si="57"/>
        <v>0</v>
      </c>
      <c r="G72" s="40">
        <f t="shared" si="57"/>
        <v>0.92491260372550732</v>
      </c>
      <c r="H72" s="40">
        <f t="shared" si="57"/>
        <v>0</v>
      </c>
      <c r="I72" s="40">
        <f t="shared" si="57"/>
        <v>14.478469587539617</v>
      </c>
      <c r="J72" s="40">
        <f t="shared" si="57"/>
        <v>675.68111445299724</v>
      </c>
      <c r="K72" s="40">
        <f t="shared" si="57"/>
        <v>3.5817107394743499</v>
      </c>
      <c r="L72" s="40">
        <f t="shared" si="57"/>
        <v>0</v>
      </c>
      <c r="M72" s="40">
        <f t="shared" si="57"/>
        <v>0</v>
      </c>
      <c r="N72" s="40">
        <f t="shared" si="57"/>
        <v>0</v>
      </c>
      <c r="O72" s="40">
        <f t="shared" si="57"/>
        <v>0</v>
      </c>
      <c r="P72" s="41">
        <f t="shared" si="57"/>
        <v>0</v>
      </c>
      <c r="Q72" s="12">
        <f t="shared" si="51"/>
        <v>3189.5062073837371</v>
      </c>
      <c r="R72" s="92"/>
      <c r="S72" s="92"/>
      <c r="T72" s="92"/>
      <c r="U72" s="101" t="s">
        <v>18</v>
      </c>
      <c r="V72" s="130">
        <f t="shared" si="52"/>
        <v>2532</v>
      </c>
      <c r="W72" s="137">
        <f t="shared" si="48"/>
        <v>3189.5062073837371</v>
      </c>
      <c r="X72" s="132">
        <f t="shared" si="53"/>
        <v>657.50620738373709</v>
      </c>
    </row>
    <row r="73" spans="2:24" x14ac:dyDescent="0.3">
      <c r="B73" s="107"/>
      <c r="C73" s="101" t="s">
        <v>19</v>
      </c>
      <c r="D73" s="47">
        <f t="shared" si="49"/>
        <v>1420.08</v>
      </c>
      <c r="E73" s="39">
        <f t="shared" ref="E73:P73" si="58">SUM(E32*E$66)</f>
        <v>0</v>
      </c>
      <c r="F73" s="40">
        <f t="shared" si="58"/>
        <v>0</v>
      </c>
      <c r="G73" s="40">
        <f t="shared" si="58"/>
        <v>0</v>
      </c>
      <c r="H73" s="40">
        <f t="shared" si="58"/>
        <v>7.2554982295485848</v>
      </c>
      <c r="I73" s="40">
        <f t="shared" si="58"/>
        <v>188.22010463801504</v>
      </c>
      <c r="J73" s="40">
        <f t="shared" si="58"/>
        <v>6.2795642607155866</v>
      </c>
      <c r="K73" s="40">
        <f t="shared" si="58"/>
        <v>1639.5280909943835</v>
      </c>
      <c r="L73" s="40">
        <f t="shared" si="58"/>
        <v>0</v>
      </c>
      <c r="M73" s="40">
        <f t="shared" si="58"/>
        <v>0</v>
      </c>
      <c r="N73" s="40">
        <f t="shared" si="58"/>
        <v>0</v>
      </c>
      <c r="O73" s="40">
        <f t="shared" si="58"/>
        <v>2.8412277342790997</v>
      </c>
      <c r="P73" s="41">
        <f t="shared" si="58"/>
        <v>1.2361337076863679</v>
      </c>
      <c r="Q73" s="12">
        <f t="shared" si="51"/>
        <v>3265.4406195646284</v>
      </c>
      <c r="R73" s="92"/>
      <c r="S73" s="92"/>
      <c r="T73" s="92"/>
      <c r="U73" s="101" t="s">
        <v>19</v>
      </c>
      <c r="V73" s="130">
        <f t="shared" si="52"/>
        <v>3747</v>
      </c>
      <c r="W73" s="137">
        <f t="shared" si="48"/>
        <v>3265.4406195646284</v>
      </c>
      <c r="X73" s="132">
        <f t="shared" si="53"/>
        <v>-481.55938043537162</v>
      </c>
    </row>
    <row r="74" spans="2:24" x14ac:dyDescent="0.3">
      <c r="B74" s="107"/>
      <c r="C74" s="101" t="s">
        <v>31</v>
      </c>
      <c r="D74" s="47">
        <f t="shared" si="49"/>
        <v>70.81</v>
      </c>
      <c r="E74" s="39">
        <f t="shared" ref="E74:P74" si="59">SUM(E33*E$66)</f>
        <v>0</v>
      </c>
      <c r="F74" s="40">
        <f t="shared" si="59"/>
        <v>0</v>
      </c>
      <c r="G74" s="40">
        <f t="shared" si="59"/>
        <v>0</v>
      </c>
      <c r="H74" s="40">
        <f t="shared" si="59"/>
        <v>0.9069372786935731</v>
      </c>
      <c r="I74" s="40">
        <f t="shared" si="59"/>
        <v>1.8098086984424522</v>
      </c>
      <c r="J74" s="40">
        <f t="shared" si="59"/>
        <v>0</v>
      </c>
      <c r="K74" s="40">
        <f t="shared" si="59"/>
        <v>0</v>
      </c>
      <c r="L74" s="40">
        <f t="shared" si="59"/>
        <v>3.1163617878720058</v>
      </c>
      <c r="M74" s="40">
        <f t="shared" si="59"/>
        <v>0</v>
      </c>
      <c r="N74" s="40">
        <f t="shared" si="59"/>
        <v>0</v>
      </c>
      <c r="O74" s="40">
        <f t="shared" si="59"/>
        <v>0</v>
      </c>
      <c r="P74" s="41">
        <f t="shared" si="59"/>
        <v>0</v>
      </c>
      <c r="Q74" s="12">
        <f t="shared" si="51"/>
        <v>76.64310776500804</v>
      </c>
      <c r="R74" s="92"/>
      <c r="S74" s="92"/>
      <c r="T74" s="92"/>
      <c r="U74" s="101" t="s">
        <v>31</v>
      </c>
      <c r="V74" s="130">
        <f t="shared" si="52"/>
        <v>173</v>
      </c>
      <c r="W74" s="137">
        <f t="shared" si="48"/>
        <v>76.64310776500804</v>
      </c>
      <c r="X74" s="132">
        <f t="shared" si="53"/>
        <v>-96.35689223499196</v>
      </c>
    </row>
    <row r="75" spans="2:24" x14ac:dyDescent="0.3">
      <c r="B75" s="107"/>
      <c r="C75" s="101" t="s">
        <v>32</v>
      </c>
      <c r="D75" s="47">
        <f t="shared" si="49"/>
        <v>0</v>
      </c>
      <c r="E75" s="39">
        <f t="shared" ref="E75:P75" si="60">SUM(E34*E$66)</f>
        <v>0</v>
      </c>
      <c r="F75" s="40">
        <f t="shared" si="60"/>
        <v>0</v>
      </c>
      <c r="G75" s="40">
        <f t="shared" si="60"/>
        <v>0</v>
      </c>
      <c r="H75" s="40">
        <f t="shared" si="60"/>
        <v>0</v>
      </c>
      <c r="I75" s="40">
        <f t="shared" si="60"/>
        <v>0.90490434922122609</v>
      </c>
      <c r="J75" s="40">
        <f t="shared" si="60"/>
        <v>0</v>
      </c>
      <c r="K75" s="40">
        <f t="shared" si="60"/>
        <v>0</v>
      </c>
      <c r="L75" s="40">
        <f t="shared" si="60"/>
        <v>45.85503773583094</v>
      </c>
      <c r="M75" s="40">
        <f t="shared" si="60"/>
        <v>0.81256942460700854</v>
      </c>
      <c r="N75" s="40">
        <f t="shared" si="60"/>
        <v>0</v>
      </c>
      <c r="O75" s="40">
        <f t="shared" si="60"/>
        <v>0</v>
      </c>
      <c r="P75" s="41">
        <f t="shared" si="60"/>
        <v>0</v>
      </c>
      <c r="Q75" s="12">
        <f t="shared" si="51"/>
        <v>47.572511509659172</v>
      </c>
      <c r="R75" s="92"/>
      <c r="S75" s="92"/>
      <c r="T75" s="92"/>
      <c r="U75" s="101" t="s">
        <v>32</v>
      </c>
      <c r="V75" s="130">
        <f t="shared" si="52"/>
        <v>64</v>
      </c>
      <c r="W75" s="137">
        <f t="shared" si="48"/>
        <v>47.572511509659172</v>
      </c>
      <c r="X75" s="132">
        <f t="shared" si="53"/>
        <v>-16.427488490340828</v>
      </c>
    </row>
    <row r="76" spans="2:24" x14ac:dyDescent="0.3">
      <c r="B76" s="107"/>
      <c r="C76" s="101" t="s">
        <v>33</v>
      </c>
      <c r="D76" s="47">
        <f t="shared" si="49"/>
        <v>0.97</v>
      </c>
      <c r="E76" s="39">
        <f t="shared" ref="E76:P76" si="61">SUM(E35*E$66)</f>
        <v>0</v>
      </c>
      <c r="F76" s="40">
        <f t="shared" si="61"/>
        <v>0</v>
      </c>
      <c r="G76" s="40">
        <f t="shared" si="61"/>
        <v>0</v>
      </c>
      <c r="H76" s="40">
        <f t="shared" si="61"/>
        <v>0</v>
      </c>
      <c r="I76" s="40">
        <f t="shared" si="61"/>
        <v>0</v>
      </c>
      <c r="J76" s="40">
        <f t="shared" si="61"/>
        <v>0</v>
      </c>
      <c r="K76" s="40">
        <f t="shared" si="61"/>
        <v>0</v>
      </c>
      <c r="L76" s="40">
        <f t="shared" si="61"/>
        <v>20.924143432854894</v>
      </c>
      <c r="M76" s="40">
        <f t="shared" si="61"/>
        <v>35.753054682708374</v>
      </c>
      <c r="N76" s="40">
        <f t="shared" si="61"/>
        <v>3.7225924855491326</v>
      </c>
      <c r="O76" s="40">
        <f t="shared" si="61"/>
        <v>0</v>
      </c>
      <c r="P76" s="41">
        <f t="shared" si="61"/>
        <v>0</v>
      </c>
      <c r="Q76" s="12">
        <f t="shared" si="51"/>
        <v>61.369790601112406</v>
      </c>
      <c r="R76" s="92"/>
      <c r="S76" s="92"/>
      <c r="T76" s="92"/>
      <c r="U76" s="101" t="s">
        <v>33</v>
      </c>
      <c r="V76" s="130">
        <f t="shared" si="52"/>
        <v>80</v>
      </c>
      <c r="W76" s="137">
        <f t="shared" si="48"/>
        <v>61.369790601112406</v>
      </c>
      <c r="X76" s="132">
        <f t="shared" si="53"/>
        <v>-18.630209398887594</v>
      </c>
    </row>
    <row r="77" spans="2:24" x14ac:dyDescent="0.3">
      <c r="B77" s="107"/>
      <c r="C77" s="101" t="s">
        <v>34</v>
      </c>
      <c r="D77" s="47">
        <f t="shared" si="49"/>
        <v>258.99</v>
      </c>
      <c r="E77" s="39">
        <f t="shared" ref="E77:P77" si="62">SUM(E36*E$66)</f>
        <v>0</v>
      </c>
      <c r="F77" s="40">
        <f t="shared" si="62"/>
        <v>0</v>
      </c>
      <c r="G77" s="40">
        <f t="shared" si="62"/>
        <v>0</v>
      </c>
      <c r="H77" s="40">
        <f t="shared" si="62"/>
        <v>0</v>
      </c>
      <c r="I77" s="40">
        <f t="shared" si="62"/>
        <v>8.144139142991035</v>
      </c>
      <c r="J77" s="40">
        <f t="shared" si="62"/>
        <v>0</v>
      </c>
      <c r="K77" s="40">
        <f t="shared" si="62"/>
        <v>27.758258230926209</v>
      </c>
      <c r="L77" s="40">
        <f t="shared" si="62"/>
        <v>0</v>
      </c>
      <c r="M77" s="40">
        <f t="shared" si="62"/>
        <v>0</v>
      </c>
      <c r="N77" s="40">
        <f t="shared" si="62"/>
        <v>0</v>
      </c>
      <c r="O77" s="40">
        <f t="shared" si="62"/>
        <v>531.30958631019166</v>
      </c>
      <c r="P77" s="41">
        <f t="shared" si="62"/>
        <v>3.7084011230591032</v>
      </c>
      <c r="Q77" s="12">
        <f t="shared" si="51"/>
        <v>829.91038480716793</v>
      </c>
      <c r="R77" s="92"/>
      <c r="S77" s="92"/>
      <c r="T77" s="92"/>
      <c r="U77" s="101" t="s">
        <v>34</v>
      </c>
      <c r="V77" s="130">
        <f t="shared" si="52"/>
        <v>894</v>
      </c>
      <c r="W77" s="137">
        <f t="shared" si="48"/>
        <v>829.91038480716793</v>
      </c>
      <c r="X77" s="132">
        <f t="shared" si="53"/>
        <v>-64.089615192832071</v>
      </c>
    </row>
    <row r="78" spans="2:24" x14ac:dyDescent="0.3">
      <c r="B78" s="107"/>
      <c r="C78" s="101" t="s">
        <v>35</v>
      </c>
      <c r="D78" s="47">
        <f t="shared" si="49"/>
        <v>10.67</v>
      </c>
      <c r="E78" s="39">
        <f t="shared" ref="E78:P78" si="63">SUM(E37*E$66)</f>
        <v>0</v>
      </c>
      <c r="F78" s="40">
        <f t="shared" si="63"/>
        <v>0</v>
      </c>
      <c r="G78" s="40">
        <f t="shared" si="63"/>
        <v>0</v>
      </c>
      <c r="H78" s="40">
        <f t="shared" si="63"/>
        <v>0</v>
      </c>
      <c r="I78" s="40">
        <f t="shared" si="63"/>
        <v>0</v>
      </c>
      <c r="J78" s="40">
        <f t="shared" si="63"/>
        <v>0</v>
      </c>
      <c r="K78" s="40">
        <f t="shared" si="63"/>
        <v>0.89542768486858748</v>
      </c>
      <c r="L78" s="40">
        <f t="shared" si="63"/>
        <v>0</v>
      </c>
      <c r="M78" s="40">
        <f t="shared" si="63"/>
        <v>0</v>
      </c>
      <c r="N78" s="40">
        <f t="shared" si="63"/>
        <v>0</v>
      </c>
      <c r="O78" s="40">
        <f t="shared" si="63"/>
        <v>126.90817213113311</v>
      </c>
      <c r="P78" s="41">
        <f t="shared" si="63"/>
        <v>179.23938761452334</v>
      </c>
      <c r="Q78" s="12">
        <f t="shared" si="51"/>
        <v>317.712987430525</v>
      </c>
      <c r="R78" s="92"/>
      <c r="S78" s="92"/>
      <c r="T78" s="92"/>
      <c r="U78" s="101" t="s">
        <v>35</v>
      </c>
      <c r="V78" s="133">
        <f t="shared" si="52"/>
        <v>251</v>
      </c>
      <c r="W78" s="138">
        <f t="shared" si="48"/>
        <v>317.712987430525</v>
      </c>
      <c r="X78" s="134">
        <f t="shared" si="53"/>
        <v>66.712987430525004</v>
      </c>
    </row>
    <row r="79" spans="2:24" x14ac:dyDescent="0.3">
      <c r="B79" s="92"/>
      <c r="C79" s="12" t="s">
        <v>36</v>
      </c>
      <c r="D79" s="47" t="s">
        <v>11</v>
      </c>
      <c r="E79" s="39">
        <f t="shared" ref="E79:P79" si="64">SUM(E38*E$66)</f>
        <v>0</v>
      </c>
      <c r="F79" s="40">
        <f t="shared" si="64"/>
        <v>0</v>
      </c>
      <c r="G79" s="40">
        <f t="shared" si="64"/>
        <v>0.92491260372550732</v>
      </c>
      <c r="H79" s="40">
        <f t="shared" si="64"/>
        <v>179.57358118132748</v>
      </c>
      <c r="I79" s="40">
        <f t="shared" si="64"/>
        <v>2118.3810815268903</v>
      </c>
      <c r="J79" s="40">
        <f t="shared" si="64"/>
        <v>0</v>
      </c>
      <c r="K79" s="40">
        <f t="shared" si="64"/>
        <v>1110.3303292370483</v>
      </c>
      <c r="L79" s="40">
        <f t="shared" si="64"/>
        <v>0</v>
      </c>
      <c r="M79" s="40">
        <f t="shared" si="64"/>
        <v>13.813680218319146</v>
      </c>
      <c r="N79" s="40">
        <f t="shared" si="64"/>
        <v>95.546540462427743</v>
      </c>
      <c r="O79" s="40">
        <f t="shared" si="64"/>
        <v>70.083617445551127</v>
      </c>
      <c r="P79" s="41">
        <f t="shared" si="64"/>
        <v>102.59909773796852</v>
      </c>
      <c r="Q79" s="92"/>
      <c r="R79" s="66">
        <f>SUM(E79:P79)</f>
        <v>3691.2528404132581</v>
      </c>
      <c r="S79" s="140">
        <f>R79/Q66</f>
        <v>0.17406555773959989</v>
      </c>
      <c r="T79" s="92"/>
      <c r="V79" s="92">
        <f t="shared" si="52"/>
        <v>21917</v>
      </c>
      <c r="W79" s="139">
        <f>SUM(W67:W78)</f>
        <v>20893.774915398179</v>
      </c>
      <c r="X79" s="126">
        <f t="shared" si="53"/>
        <v>-1023.2250846018214</v>
      </c>
    </row>
    <row r="80" spans="2:24" x14ac:dyDescent="0.3">
      <c r="B80" s="92"/>
      <c r="C80" s="12" t="s">
        <v>37</v>
      </c>
      <c r="D80" s="47" t="s">
        <v>11</v>
      </c>
      <c r="E80" s="42">
        <f t="shared" ref="E80:P80" si="65">SUM(E39*E$66)</f>
        <v>750.28009596469235</v>
      </c>
      <c r="F80" s="43">
        <f t="shared" si="65"/>
        <v>547.03854819435639</v>
      </c>
      <c r="G80" s="43">
        <f t="shared" si="65"/>
        <v>570.67107649863817</v>
      </c>
      <c r="H80" s="43">
        <f t="shared" si="65"/>
        <v>451.65476478939939</v>
      </c>
      <c r="I80" s="43">
        <f t="shared" si="65"/>
        <v>481.4091137856924</v>
      </c>
      <c r="J80" s="43">
        <f t="shared" si="65"/>
        <v>2048.3938618454245</v>
      </c>
      <c r="K80" s="43">
        <f t="shared" si="65"/>
        <v>573.07371831589614</v>
      </c>
      <c r="L80" s="43">
        <f t="shared" si="65"/>
        <v>7.1231126579931523</v>
      </c>
      <c r="M80" s="43">
        <f t="shared" si="65"/>
        <v>1.6251388492140171</v>
      </c>
      <c r="N80" s="43">
        <f t="shared" si="65"/>
        <v>0</v>
      </c>
      <c r="O80" s="43">
        <f t="shared" si="65"/>
        <v>115.54326119401668</v>
      </c>
      <c r="P80" s="44">
        <f t="shared" si="65"/>
        <v>23.486540446040966</v>
      </c>
      <c r="Q80" s="92"/>
      <c r="R80" s="66">
        <f>SUM(E80:P80)</f>
        <v>5570.2992325413643</v>
      </c>
      <c r="S80" s="140">
        <f>R80/Q66</f>
        <v>0.26267429639965423</v>
      </c>
      <c r="T80" s="92"/>
    </row>
    <row r="81" spans="2:20" x14ac:dyDescent="0.3">
      <c r="B81" s="92"/>
      <c r="C81" s="18" t="s">
        <v>25</v>
      </c>
      <c r="D81" s="12">
        <f>SUM(D67:D80)</f>
        <v>8949.2199999999993</v>
      </c>
      <c r="E81" s="12" t="s">
        <v>11</v>
      </c>
      <c r="F81" s="12" t="s">
        <v>11</v>
      </c>
      <c r="G81" s="12" t="s">
        <v>11</v>
      </c>
      <c r="H81" s="12" t="s">
        <v>11</v>
      </c>
      <c r="I81" s="12" t="s">
        <v>11</v>
      </c>
      <c r="J81" s="12" t="s">
        <v>11</v>
      </c>
      <c r="K81" s="12" t="s">
        <v>11</v>
      </c>
      <c r="L81" s="12" t="s">
        <v>11</v>
      </c>
      <c r="M81" s="12" t="s">
        <v>11</v>
      </c>
      <c r="N81" s="12" t="s">
        <v>11</v>
      </c>
      <c r="O81" s="12" t="s">
        <v>39</v>
      </c>
      <c r="P81" s="92"/>
      <c r="Q81" s="12">
        <f>SUM(Q67:Q78)</f>
        <v>20893.774915398179</v>
      </c>
      <c r="R81" s="92"/>
      <c r="S81" s="92"/>
      <c r="T81" s="92"/>
    </row>
    <row r="82" spans="2:20" x14ac:dyDescent="0.3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12" t="s">
        <v>40</v>
      </c>
      <c r="Q82" s="92"/>
      <c r="R82" s="12">
        <f>SUM(R79:R80)</f>
        <v>9261.5520729546224</v>
      </c>
      <c r="S82" s="140">
        <f>R82/Q66</f>
        <v>0.43673985413925415</v>
      </c>
      <c r="T82" s="92"/>
    </row>
    <row r="83" spans="2:20" s="108" customFormat="1" x14ac:dyDescent="0.3">
      <c r="B83" s="106"/>
      <c r="C83" s="106"/>
      <c r="D83" s="110" t="s">
        <v>41</v>
      </c>
      <c r="E83" s="111">
        <f t="shared" ref="E83:P83" si="66">SUM(E67:E79)/E66</f>
        <v>0.70505385252692643</v>
      </c>
      <c r="F83" s="111">
        <f t="shared" si="66"/>
        <v>0.53960784313725485</v>
      </c>
      <c r="G83" s="111">
        <f t="shared" si="66"/>
        <v>0.78494248867201122</v>
      </c>
      <c r="H83" s="111">
        <f t="shared" si="66"/>
        <v>0.8465331278890601</v>
      </c>
      <c r="I83" s="111">
        <f t="shared" si="66"/>
        <v>0.87834438600503095</v>
      </c>
      <c r="J83" s="111">
        <f t="shared" si="66"/>
        <v>0.35584518167456564</v>
      </c>
      <c r="K83" s="111">
        <f t="shared" si="66"/>
        <v>0.82919669068588198</v>
      </c>
      <c r="L83" s="111">
        <f t="shared" si="66"/>
        <v>0.90751445086705218</v>
      </c>
      <c r="M83" s="111">
        <f t="shared" si="66"/>
        <v>0.96874999999999989</v>
      </c>
      <c r="N83" s="111">
        <f t="shared" si="66"/>
        <v>1</v>
      </c>
      <c r="O83" s="111">
        <f t="shared" si="66"/>
        <v>0.86353467561521247</v>
      </c>
      <c r="P83" s="111">
        <f t="shared" si="66"/>
        <v>0.92430278884462158</v>
      </c>
      <c r="Q83" s="111">
        <f>SUM(E67:P79)/Q66</f>
        <v>0.73732570360034544</v>
      </c>
      <c r="R83" s="106"/>
      <c r="S83" s="106"/>
      <c r="T83" s="106"/>
    </row>
    <row r="86" spans="2:20" x14ac:dyDescent="0.3">
      <c r="B86" s="32" t="s">
        <v>45</v>
      </c>
      <c r="C86" s="13"/>
      <c r="D86" s="33"/>
      <c r="E86" s="13"/>
      <c r="F86" s="92"/>
      <c r="G86" s="45">
        <f>G64</f>
        <v>-0.03</v>
      </c>
      <c r="H86" s="92"/>
      <c r="I86" s="92"/>
      <c r="J86" s="115" t="s">
        <v>46</v>
      </c>
      <c r="K86" s="115">
        <f>SUM(B68)</f>
        <v>2025</v>
      </c>
      <c r="L86" s="92"/>
      <c r="M86" s="92"/>
      <c r="N86" s="92"/>
      <c r="O86" s="92"/>
      <c r="P86" s="92"/>
      <c r="Q86" s="92"/>
      <c r="R86" s="92"/>
      <c r="S86" s="92"/>
      <c r="T86" s="92"/>
    </row>
    <row r="87" spans="2:20" ht="26.25" x14ac:dyDescent="0.3">
      <c r="B87" s="92"/>
      <c r="C87" s="15" t="s">
        <v>47</v>
      </c>
      <c r="D87" s="35" t="s">
        <v>44</v>
      </c>
      <c r="E87" s="116" t="s">
        <v>13</v>
      </c>
      <c r="F87" s="116" t="s">
        <v>14</v>
      </c>
      <c r="G87" s="116" t="s">
        <v>15</v>
      </c>
      <c r="H87" s="116" t="s">
        <v>16</v>
      </c>
      <c r="I87" s="116" t="s">
        <v>17</v>
      </c>
      <c r="J87" s="98" t="s">
        <v>18</v>
      </c>
      <c r="K87" s="116" t="s">
        <v>19</v>
      </c>
      <c r="L87" s="116" t="s">
        <v>20</v>
      </c>
      <c r="M87" s="116" t="s">
        <v>21</v>
      </c>
      <c r="N87" s="116" t="s">
        <v>22</v>
      </c>
      <c r="O87" s="116" t="s">
        <v>23</v>
      </c>
      <c r="P87" s="116" t="s">
        <v>24</v>
      </c>
      <c r="Q87" s="53" t="s">
        <v>25</v>
      </c>
      <c r="R87" s="92"/>
      <c r="S87" s="12" t="s">
        <v>11</v>
      </c>
      <c r="T87" s="12"/>
    </row>
    <row r="88" spans="2:20" x14ac:dyDescent="0.3">
      <c r="B88" s="92"/>
      <c r="C88" s="15"/>
      <c r="D88" s="35"/>
      <c r="E88" s="114">
        <f>SUM(Q67)</f>
        <v>2550.5754111022343</v>
      </c>
      <c r="F88" s="114">
        <f>SUM(Q68)</f>
        <v>1192.3627485383677</v>
      </c>
      <c r="G88" s="114">
        <f>SUM(Q69)</f>
        <v>2658.1316869009574</v>
      </c>
      <c r="H88" s="114">
        <f>SUM(Q70)</f>
        <v>2903.2318200851996</v>
      </c>
      <c r="I88" s="114">
        <f>SUM(Q71)</f>
        <v>3801.3176397095831</v>
      </c>
      <c r="J88" s="114">
        <f>SUM(Q72)</f>
        <v>3189.5062073837371</v>
      </c>
      <c r="K88" s="114">
        <f>SUM(Q73)</f>
        <v>3265.4406195646284</v>
      </c>
      <c r="L88" s="114">
        <f>SUM(Q74)</f>
        <v>76.64310776500804</v>
      </c>
      <c r="M88" s="114">
        <f>SUM(Q75)</f>
        <v>47.572511509659172</v>
      </c>
      <c r="N88" s="114">
        <f>SUM(Q76)</f>
        <v>61.369790601112406</v>
      </c>
      <c r="O88" s="114">
        <f>SUM(Q77)</f>
        <v>829.91038480716793</v>
      </c>
      <c r="P88" s="114">
        <f>SUM(Q78)</f>
        <v>317.712987430525</v>
      </c>
      <c r="Q88" s="117">
        <f>SUM(E88:P88)</f>
        <v>20893.774915398179</v>
      </c>
      <c r="R88" s="92"/>
      <c r="S88" s="92"/>
      <c r="T88" s="92"/>
    </row>
    <row r="89" spans="2:20" x14ac:dyDescent="0.3">
      <c r="B89" s="104" t="s">
        <v>8</v>
      </c>
      <c r="C89" s="101" t="s">
        <v>26</v>
      </c>
      <c r="D89" s="47">
        <f>($G$86*D6) + D6</f>
        <v>2109.75</v>
      </c>
      <c r="E89" s="36">
        <f t="shared" ref="E89:P89" si="67">SUM(E26*E$88)</f>
        <v>0</v>
      </c>
      <c r="F89" s="37">
        <f t="shared" si="67"/>
        <v>0</v>
      </c>
      <c r="G89" s="37">
        <f t="shared" si="67"/>
        <v>0</v>
      </c>
      <c r="H89" s="37">
        <f t="shared" si="67"/>
        <v>0</v>
      </c>
      <c r="I89" s="37">
        <f t="shared" si="67"/>
        <v>0</v>
      </c>
      <c r="J89" s="37">
        <f t="shared" si="67"/>
        <v>442.14718751646586</v>
      </c>
      <c r="K89" s="37">
        <f t="shared" si="67"/>
        <v>0</v>
      </c>
      <c r="L89" s="37">
        <f t="shared" si="67"/>
        <v>0</v>
      </c>
      <c r="M89" s="37">
        <f t="shared" si="67"/>
        <v>0</v>
      </c>
      <c r="N89" s="37">
        <f t="shared" si="67"/>
        <v>0</v>
      </c>
      <c r="O89" s="37">
        <f t="shared" si="67"/>
        <v>0</v>
      </c>
      <c r="P89" s="38">
        <f t="shared" si="67"/>
        <v>0</v>
      </c>
      <c r="Q89" s="12">
        <f>SUM(D89:P89)</f>
        <v>2551.8971875164657</v>
      </c>
      <c r="R89" s="92"/>
      <c r="S89" s="92"/>
      <c r="T89" s="92"/>
    </row>
    <row r="90" spans="2:20" x14ac:dyDescent="0.3">
      <c r="B90" s="105">
        <f>SUM(K86+1)</f>
        <v>2026</v>
      </c>
      <c r="C90" s="101" t="s">
        <v>27</v>
      </c>
      <c r="D90" s="47">
        <f t="shared" ref="D90:D100" si="68">($G$86*D7) + D7</f>
        <v>533.5</v>
      </c>
      <c r="E90" s="39">
        <f t="shared" ref="E90:P90" si="69">SUM(E27*E$88)</f>
        <v>573.72098103915209</v>
      </c>
      <c r="F90" s="40">
        <f t="shared" si="69"/>
        <v>86.972341658092702</v>
      </c>
      <c r="G90" s="40">
        <f t="shared" si="69"/>
        <v>0</v>
      </c>
      <c r="H90" s="40">
        <f t="shared" si="69"/>
        <v>0</v>
      </c>
      <c r="I90" s="40">
        <f t="shared" si="69"/>
        <v>0</v>
      </c>
      <c r="J90" s="40">
        <f t="shared" si="69"/>
        <v>0</v>
      </c>
      <c r="K90" s="40">
        <f t="shared" si="69"/>
        <v>0</v>
      </c>
      <c r="L90" s="40">
        <f t="shared" si="69"/>
        <v>0</v>
      </c>
      <c r="M90" s="40">
        <f t="shared" si="69"/>
        <v>0</v>
      </c>
      <c r="N90" s="40">
        <f t="shared" si="69"/>
        <v>0</v>
      </c>
      <c r="O90" s="40">
        <f t="shared" si="69"/>
        <v>0</v>
      </c>
      <c r="P90" s="41">
        <f t="shared" si="69"/>
        <v>0</v>
      </c>
      <c r="Q90" s="12">
        <f t="shared" ref="Q90:Q100" si="70">SUM(D90:P90)</f>
        <v>1194.1933226972449</v>
      </c>
      <c r="R90" s="92"/>
      <c r="S90" s="92"/>
      <c r="T90" s="92"/>
    </row>
    <row r="91" spans="2:20" x14ac:dyDescent="0.3">
      <c r="B91" s="107"/>
      <c r="C91" s="101" t="s">
        <v>28</v>
      </c>
      <c r="D91" s="47">
        <f t="shared" si="68"/>
        <v>631.47</v>
      </c>
      <c r="E91" s="39">
        <f t="shared" ref="E91:P91" si="71">SUM(E28*E$88)</f>
        <v>1159.0643023940145</v>
      </c>
      <c r="F91" s="40">
        <f t="shared" si="71"/>
        <v>494.71364233474236</v>
      </c>
      <c r="G91" s="40">
        <f t="shared" si="71"/>
        <v>377.08595209783539</v>
      </c>
      <c r="H91" s="40">
        <f t="shared" si="71"/>
        <v>0</v>
      </c>
      <c r="I91" s="40">
        <f t="shared" si="71"/>
        <v>0</v>
      </c>
      <c r="J91" s="40">
        <f t="shared" si="71"/>
        <v>1.2596785969130082</v>
      </c>
      <c r="K91" s="40">
        <f t="shared" si="71"/>
        <v>0</v>
      </c>
      <c r="L91" s="40">
        <f t="shared" si="71"/>
        <v>0</v>
      </c>
      <c r="M91" s="40">
        <f t="shared" si="71"/>
        <v>0</v>
      </c>
      <c r="N91" s="40">
        <f t="shared" si="71"/>
        <v>0</v>
      </c>
      <c r="O91" s="40">
        <f t="shared" si="71"/>
        <v>0</v>
      </c>
      <c r="P91" s="41">
        <f t="shared" si="71"/>
        <v>0</v>
      </c>
      <c r="Q91" s="12">
        <f t="shared" si="70"/>
        <v>2663.5935754235056</v>
      </c>
      <c r="R91" s="92"/>
      <c r="S91" s="92"/>
      <c r="T91" s="92"/>
    </row>
    <row r="92" spans="2:20" x14ac:dyDescent="0.3">
      <c r="B92" s="107"/>
      <c r="C92" s="101" t="s">
        <v>29</v>
      </c>
      <c r="D92" s="47">
        <f t="shared" si="68"/>
        <v>795.4</v>
      </c>
      <c r="E92" s="39">
        <f t="shared" ref="E92:P92" si="72">SUM(E29*E$88)</f>
        <v>62.338007147900505</v>
      </c>
      <c r="F92" s="40">
        <f t="shared" si="72"/>
        <v>61.722306983162561</v>
      </c>
      <c r="G92" s="40">
        <f t="shared" si="72"/>
        <v>1577.8313917017533</v>
      </c>
      <c r="H92" s="40">
        <f t="shared" si="72"/>
        <v>402.6053371458674</v>
      </c>
      <c r="I92" s="40">
        <f t="shared" si="72"/>
        <v>0.86926998392627097</v>
      </c>
      <c r="J92" s="40">
        <f t="shared" si="72"/>
        <v>0</v>
      </c>
      <c r="K92" s="40">
        <f t="shared" si="72"/>
        <v>0</v>
      </c>
      <c r="L92" s="40">
        <f t="shared" si="72"/>
        <v>0</v>
      </c>
      <c r="M92" s="40">
        <f t="shared" si="72"/>
        <v>0</v>
      </c>
      <c r="N92" s="40">
        <f t="shared" si="72"/>
        <v>0</v>
      </c>
      <c r="O92" s="40">
        <f t="shared" si="72"/>
        <v>0</v>
      </c>
      <c r="P92" s="41">
        <f t="shared" si="72"/>
        <v>0</v>
      </c>
      <c r="Q92" s="12">
        <f t="shared" si="70"/>
        <v>2900.7663129626098</v>
      </c>
      <c r="R92" s="92"/>
      <c r="S92" s="92"/>
      <c r="T92" s="92"/>
    </row>
    <row r="93" spans="2:20" x14ac:dyDescent="0.3">
      <c r="B93" s="109"/>
      <c r="C93" s="101" t="s">
        <v>30</v>
      </c>
      <c r="D93" s="47">
        <f t="shared" si="68"/>
        <v>622.74</v>
      </c>
      <c r="E93" s="39">
        <f t="shared" ref="E93:P93" si="73">SUM(E30*E$88)</f>
        <v>3.1697291770118903</v>
      </c>
      <c r="F93" s="40">
        <f t="shared" si="73"/>
        <v>0</v>
      </c>
      <c r="G93" s="40">
        <f t="shared" si="73"/>
        <v>129.71015551276892</v>
      </c>
      <c r="H93" s="40">
        <f t="shared" si="73"/>
        <v>1869.8781214108064</v>
      </c>
      <c r="I93" s="40">
        <f t="shared" si="73"/>
        <v>1097.8879896988803</v>
      </c>
      <c r="J93" s="40">
        <f t="shared" si="73"/>
        <v>7.5580715814780506</v>
      </c>
      <c r="K93" s="40">
        <f t="shared" si="73"/>
        <v>0</v>
      </c>
      <c r="L93" s="40">
        <f t="shared" si="73"/>
        <v>0</v>
      </c>
      <c r="M93" s="40">
        <f t="shared" si="73"/>
        <v>0</v>
      </c>
      <c r="N93" s="40">
        <f t="shared" si="73"/>
        <v>0</v>
      </c>
      <c r="O93" s="40">
        <f t="shared" si="73"/>
        <v>0</v>
      </c>
      <c r="P93" s="41">
        <f t="shared" si="73"/>
        <v>0</v>
      </c>
      <c r="Q93" s="12">
        <f t="shared" si="70"/>
        <v>3730.9440673809454</v>
      </c>
      <c r="R93" s="92"/>
    </row>
    <row r="94" spans="2:20" x14ac:dyDescent="0.3">
      <c r="B94" s="109"/>
      <c r="C94" s="101" t="s">
        <v>18</v>
      </c>
      <c r="D94" s="47">
        <f t="shared" si="68"/>
        <v>2494.84</v>
      </c>
      <c r="E94" s="39">
        <f t="shared" ref="E94:P94" si="74">SUM(E31*E$88)</f>
        <v>0</v>
      </c>
      <c r="F94" s="40">
        <f t="shared" si="74"/>
        <v>0</v>
      </c>
      <c r="G94" s="40">
        <f t="shared" si="74"/>
        <v>0.92650111080549236</v>
      </c>
      <c r="H94" s="40">
        <f t="shared" si="74"/>
        <v>0</v>
      </c>
      <c r="I94" s="40">
        <f t="shared" si="74"/>
        <v>13.908319742820336</v>
      </c>
      <c r="J94" s="40">
        <f t="shared" si="74"/>
        <v>677.70708513919851</v>
      </c>
      <c r="K94" s="40">
        <f t="shared" si="74"/>
        <v>3.4859254011898888</v>
      </c>
      <c r="L94" s="40">
        <f t="shared" si="74"/>
        <v>0</v>
      </c>
      <c r="M94" s="40">
        <f t="shared" si="74"/>
        <v>0</v>
      </c>
      <c r="N94" s="40">
        <f t="shared" si="74"/>
        <v>0</v>
      </c>
      <c r="O94" s="40">
        <f t="shared" si="74"/>
        <v>0</v>
      </c>
      <c r="P94" s="41">
        <f t="shared" si="74"/>
        <v>0</v>
      </c>
      <c r="Q94" s="12">
        <f t="shared" si="70"/>
        <v>3190.8678313940145</v>
      </c>
      <c r="R94" s="92"/>
    </row>
    <row r="95" spans="2:20" x14ac:dyDescent="0.3">
      <c r="B95" s="109"/>
      <c r="C95" s="101" t="s">
        <v>19</v>
      </c>
      <c r="D95" s="47">
        <f t="shared" si="68"/>
        <v>1420.08</v>
      </c>
      <c r="E95" s="39">
        <f t="shared" ref="E95:P95" si="75">SUM(E32*E$88)</f>
        <v>0</v>
      </c>
      <c r="F95" s="40">
        <f t="shared" si="75"/>
        <v>0</v>
      </c>
      <c r="G95" s="40">
        <f t="shared" si="75"/>
        <v>0</v>
      </c>
      <c r="H95" s="40">
        <f t="shared" si="75"/>
        <v>7.1574282159265321</v>
      </c>
      <c r="I95" s="40">
        <f t="shared" si="75"/>
        <v>180.80815665666438</v>
      </c>
      <c r="J95" s="40">
        <f t="shared" si="75"/>
        <v>6.2983929845650408</v>
      </c>
      <c r="K95" s="40">
        <f t="shared" si="75"/>
        <v>1595.6823523946716</v>
      </c>
      <c r="L95" s="40">
        <f t="shared" si="75"/>
        <v>0</v>
      </c>
      <c r="M95" s="40">
        <f t="shared" si="75"/>
        <v>0</v>
      </c>
      <c r="N95" s="40">
        <f t="shared" si="75"/>
        <v>0</v>
      </c>
      <c r="O95" s="40">
        <f t="shared" si="75"/>
        <v>2.7849341772052614</v>
      </c>
      <c r="P95" s="41">
        <f t="shared" si="75"/>
        <v>1.2657887945439243</v>
      </c>
      <c r="Q95" s="12">
        <f t="shared" si="70"/>
        <v>3214.0770532235765</v>
      </c>
      <c r="R95" s="92"/>
    </row>
    <row r="96" spans="2:20" x14ac:dyDescent="0.3">
      <c r="B96" s="109"/>
      <c r="C96" s="101" t="s">
        <v>31</v>
      </c>
      <c r="D96" s="47">
        <f t="shared" si="68"/>
        <v>70.81</v>
      </c>
      <c r="E96" s="39">
        <f t="shared" ref="E96:P96" si="76">SUM(E33*E$88)</f>
        <v>0</v>
      </c>
      <c r="F96" s="40">
        <f t="shared" si="76"/>
        <v>0</v>
      </c>
      <c r="G96" s="40">
        <f t="shared" si="76"/>
        <v>0</v>
      </c>
      <c r="H96" s="40">
        <f t="shared" si="76"/>
        <v>0.89467852699081651</v>
      </c>
      <c r="I96" s="40">
        <f t="shared" si="76"/>
        <v>1.7385399678525419</v>
      </c>
      <c r="J96" s="40">
        <f t="shared" si="76"/>
        <v>0</v>
      </c>
      <c r="K96" s="40">
        <f t="shared" si="76"/>
        <v>0</v>
      </c>
      <c r="L96" s="40">
        <f t="shared" si="76"/>
        <v>3.1011662101448341</v>
      </c>
      <c r="M96" s="40">
        <f t="shared" si="76"/>
        <v>0</v>
      </c>
      <c r="N96" s="40">
        <f t="shared" si="76"/>
        <v>0</v>
      </c>
      <c r="O96" s="40">
        <f t="shared" si="76"/>
        <v>0</v>
      </c>
      <c r="P96" s="41">
        <f t="shared" si="76"/>
        <v>0</v>
      </c>
      <c r="Q96" s="12">
        <f t="shared" si="70"/>
        <v>76.544384704988204</v>
      </c>
      <c r="R96" s="92"/>
    </row>
    <row r="97" spans="2:20" x14ac:dyDescent="0.3">
      <c r="B97" s="109"/>
      <c r="C97" s="101" t="s">
        <v>32</v>
      </c>
      <c r="D97" s="47">
        <f t="shared" si="68"/>
        <v>0</v>
      </c>
      <c r="E97" s="39">
        <f t="shared" ref="E97:P97" si="77">SUM(E34*E$88)</f>
        <v>0</v>
      </c>
      <c r="F97" s="40">
        <f t="shared" si="77"/>
        <v>0</v>
      </c>
      <c r="G97" s="40">
        <f t="shared" si="77"/>
        <v>0</v>
      </c>
      <c r="H97" s="40">
        <f t="shared" si="77"/>
        <v>0</v>
      </c>
      <c r="I97" s="40">
        <f t="shared" si="77"/>
        <v>0.86926998392627097</v>
      </c>
      <c r="J97" s="40">
        <f t="shared" si="77"/>
        <v>0</v>
      </c>
      <c r="K97" s="40">
        <f t="shared" si="77"/>
        <v>0</v>
      </c>
      <c r="L97" s="40">
        <f t="shared" si="77"/>
        <v>45.631445663559695</v>
      </c>
      <c r="M97" s="40">
        <f t="shared" si="77"/>
        <v>0.74332049233842457</v>
      </c>
      <c r="N97" s="40">
        <f t="shared" si="77"/>
        <v>0</v>
      </c>
      <c r="O97" s="40">
        <f t="shared" si="77"/>
        <v>0</v>
      </c>
      <c r="P97" s="41">
        <f t="shared" si="77"/>
        <v>0</v>
      </c>
      <c r="Q97" s="12">
        <f t="shared" si="70"/>
        <v>47.244036139824395</v>
      </c>
      <c r="R97" s="92"/>
    </row>
    <row r="98" spans="2:20" x14ac:dyDescent="0.3">
      <c r="B98" s="109"/>
      <c r="C98" s="101" t="s">
        <v>33</v>
      </c>
      <c r="D98" s="47">
        <f t="shared" si="68"/>
        <v>0.97</v>
      </c>
      <c r="E98" s="39">
        <f t="shared" ref="E98:P98" si="78">SUM(E35*E$88)</f>
        <v>0</v>
      </c>
      <c r="F98" s="40">
        <f t="shared" si="78"/>
        <v>0</v>
      </c>
      <c r="G98" s="40">
        <f t="shared" si="78"/>
        <v>0</v>
      </c>
      <c r="H98" s="40">
        <f t="shared" si="78"/>
        <v>0</v>
      </c>
      <c r="I98" s="40">
        <f t="shared" si="78"/>
        <v>0</v>
      </c>
      <c r="J98" s="40">
        <f t="shared" si="78"/>
        <v>0</v>
      </c>
      <c r="K98" s="40">
        <f t="shared" si="78"/>
        <v>0</v>
      </c>
      <c r="L98" s="40">
        <f t="shared" si="78"/>
        <v>20.822115982401026</v>
      </c>
      <c r="M98" s="40">
        <f t="shared" si="78"/>
        <v>32.706101662890681</v>
      </c>
      <c r="N98" s="40">
        <f t="shared" si="78"/>
        <v>2.3013671475417152</v>
      </c>
      <c r="O98" s="40">
        <f t="shared" si="78"/>
        <v>0</v>
      </c>
      <c r="P98" s="41">
        <f t="shared" si="78"/>
        <v>0</v>
      </c>
      <c r="Q98" s="12">
        <f t="shared" si="70"/>
        <v>56.799584792833421</v>
      </c>
      <c r="R98" s="92"/>
    </row>
    <row r="99" spans="2:20" x14ac:dyDescent="0.3">
      <c r="B99" s="109"/>
      <c r="C99" s="101" t="s">
        <v>34</v>
      </c>
      <c r="D99" s="47">
        <f t="shared" si="68"/>
        <v>258.99</v>
      </c>
      <c r="E99" s="39">
        <f t="shared" ref="E99:P99" si="79">SUM(E36*E$88)</f>
        <v>0</v>
      </c>
      <c r="F99" s="40">
        <f t="shared" si="79"/>
        <v>0</v>
      </c>
      <c r="G99" s="40">
        <f t="shared" si="79"/>
        <v>0</v>
      </c>
      <c r="H99" s="40">
        <f t="shared" si="79"/>
        <v>0</v>
      </c>
      <c r="I99" s="40">
        <f t="shared" si="79"/>
        <v>7.8234298553364399</v>
      </c>
      <c r="J99" s="40">
        <f t="shared" si="79"/>
        <v>0</v>
      </c>
      <c r="K99" s="40">
        <f t="shared" si="79"/>
        <v>27.015921859221638</v>
      </c>
      <c r="L99" s="40">
        <f t="shared" si="79"/>
        <v>0</v>
      </c>
      <c r="M99" s="40">
        <f t="shared" si="79"/>
        <v>0</v>
      </c>
      <c r="N99" s="40">
        <f t="shared" si="79"/>
        <v>0</v>
      </c>
      <c r="O99" s="40">
        <f t="shared" si="79"/>
        <v>520.78269113738395</v>
      </c>
      <c r="P99" s="41">
        <f t="shared" si="79"/>
        <v>3.7973663836317728</v>
      </c>
      <c r="Q99" s="12">
        <f t="shared" si="70"/>
        <v>818.40940923557389</v>
      </c>
      <c r="R99" s="92"/>
    </row>
    <row r="100" spans="2:20" x14ac:dyDescent="0.3">
      <c r="B100" s="109"/>
      <c r="C100" s="101" t="s">
        <v>35</v>
      </c>
      <c r="D100" s="47">
        <f t="shared" si="68"/>
        <v>10.67</v>
      </c>
      <c r="E100" s="39">
        <f t="shared" ref="E100:P100" si="80">SUM(E37*E$88)</f>
        <v>0</v>
      </c>
      <c r="F100" s="40">
        <f t="shared" si="80"/>
        <v>0</v>
      </c>
      <c r="G100" s="40">
        <f t="shared" si="80"/>
        <v>0</v>
      </c>
      <c r="H100" s="40">
        <f t="shared" si="80"/>
        <v>0</v>
      </c>
      <c r="I100" s="40">
        <f t="shared" si="80"/>
        <v>0</v>
      </c>
      <c r="J100" s="40">
        <f t="shared" si="80"/>
        <v>0</v>
      </c>
      <c r="K100" s="40">
        <f t="shared" si="80"/>
        <v>0.8714813502974722</v>
      </c>
      <c r="L100" s="40">
        <f t="shared" si="80"/>
        <v>0</v>
      </c>
      <c r="M100" s="40">
        <f t="shared" si="80"/>
        <v>0</v>
      </c>
      <c r="N100" s="40">
        <f t="shared" si="80"/>
        <v>0</v>
      </c>
      <c r="O100" s="40">
        <f t="shared" si="80"/>
        <v>124.393726581835</v>
      </c>
      <c r="P100" s="41">
        <f t="shared" si="80"/>
        <v>183.53937520886905</v>
      </c>
      <c r="Q100" s="12">
        <f t="shared" si="70"/>
        <v>319.47458314100152</v>
      </c>
      <c r="R100" s="92"/>
    </row>
    <row r="101" spans="2:20" x14ac:dyDescent="0.3">
      <c r="C101" s="12" t="s">
        <v>36</v>
      </c>
      <c r="D101" s="47" t="s">
        <v>11</v>
      </c>
      <c r="E101" s="39">
        <f t="shared" ref="E101:P101" si="81">SUM(E38*E$88)</f>
        <v>0</v>
      </c>
      <c r="F101" s="40">
        <f t="shared" si="81"/>
        <v>0</v>
      </c>
      <c r="G101" s="40">
        <f t="shared" si="81"/>
        <v>0.92650111080549236</v>
      </c>
      <c r="H101" s="40">
        <f t="shared" si="81"/>
        <v>177.14634834418169</v>
      </c>
      <c r="I101" s="40">
        <f t="shared" si="81"/>
        <v>2034.9610323714005</v>
      </c>
      <c r="J101" s="40">
        <f t="shared" si="81"/>
        <v>0</v>
      </c>
      <c r="K101" s="40">
        <f t="shared" si="81"/>
        <v>1080.6368743688654</v>
      </c>
      <c r="L101" s="40">
        <f t="shared" si="81"/>
        <v>0</v>
      </c>
      <c r="M101" s="40">
        <f t="shared" si="81"/>
        <v>12.636448369753218</v>
      </c>
      <c r="N101" s="40">
        <f t="shared" si="81"/>
        <v>59.068423453570695</v>
      </c>
      <c r="O101" s="40">
        <f t="shared" si="81"/>
        <v>68.695043037729789</v>
      </c>
      <c r="P101" s="41">
        <f t="shared" si="81"/>
        <v>105.06046994714572</v>
      </c>
      <c r="Q101" s="92"/>
      <c r="R101" s="66">
        <f>SUM(E101:P101)</f>
        <v>3539.1311410034518</v>
      </c>
      <c r="S101" s="140">
        <f>R101/Q88</f>
        <v>0.16938687026800517</v>
      </c>
    </row>
    <row r="102" spans="2:20" x14ac:dyDescent="0.3">
      <c r="C102" s="12" t="s">
        <v>37</v>
      </c>
      <c r="D102" s="47" t="s">
        <v>11</v>
      </c>
      <c r="E102" s="42">
        <f t="shared" ref="E102:P102" si="82">SUM(E39*E$88)</f>
        <v>752.28239134415514</v>
      </c>
      <c r="F102" s="43">
        <f t="shared" si="82"/>
        <v>548.95445756236995</v>
      </c>
      <c r="G102" s="43">
        <f t="shared" si="82"/>
        <v>571.6511853669889</v>
      </c>
      <c r="H102" s="43">
        <f t="shared" si="82"/>
        <v>445.54990644142663</v>
      </c>
      <c r="I102" s="43">
        <f t="shared" si="82"/>
        <v>462.45163144877631</v>
      </c>
      <c r="J102" s="43">
        <f t="shared" si="82"/>
        <v>2054.5357915651166</v>
      </c>
      <c r="K102" s="43">
        <f t="shared" si="82"/>
        <v>557.74806419038237</v>
      </c>
      <c r="L102" s="43">
        <f t="shared" si="82"/>
        <v>7.0883799089024739</v>
      </c>
      <c r="M102" s="43">
        <f t="shared" si="82"/>
        <v>1.4866409846768491</v>
      </c>
      <c r="N102" s="43">
        <f t="shared" si="82"/>
        <v>0</v>
      </c>
      <c r="O102" s="43">
        <f t="shared" si="82"/>
        <v>113.25398987301392</v>
      </c>
      <c r="P102" s="44">
        <f t="shared" si="82"/>
        <v>24.04998709633454</v>
      </c>
      <c r="Q102" s="92"/>
      <c r="R102" s="66">
        <f>SUM(E102:P102)</f>
        <v>5539.0524257821444</v>
      </c>
      <c r="S102" s="140">
        <f>R102/Q88</f>
        <v>0.26510539374577086</v>
      </c>
    </row>
    <row r="103" spans="2:20" x14ac:dyDescent="0.3">
      <c r="C103" s="18" t="s">
        <v>25</v>
      </c>
      <c r="D103" s="12">
        <f>SUM(D89:D102)</f>
        <v>8949.2199999999993</v>
      </c>
      <c r="E103" s="12" t="s">
        <v>11</v>
      </c>
      <c r="F103" s="12" t="s">
        <v>11</v>
      </c>
      <c r="G103" s="12" t="s">
        <v>11</v>
      </c>
      <c r="H103" s="12" t="s">
        <v>11</v>
      </c>
      <c r="I103" s="12" t="s">
        <v>11</v>
      </c>
      <c r="J103" s="12" t="s">
        <v>11</v>
      </c>
      <c r="K103" s="12" t="s">
        <v>11</v>
      </c>
      <c r="L103" s="12" t="s">
        <v>11</v>
      </c>
      <c r="M103" s="12" t="s">
        <v>11</v>
      </c>
      <c r="N103" s="12" t="s">
        <v>11</v>
      </c>
      <c r="O103" s="12" t="s">
        <v>39</v>
      </c>
      <c r="P103" s="92"/>
      <c r="Q103" s="12">
        <f>SUM(Q89:Q100)</f>
        <v>20764.81134861258</v>
      </c>
      <c r="R103" s="92"/>
      <c r="S103" s="92"/>
    </row>
    <row r="104" spans="2:20" x14ac:dyDescent="0.3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12" t="s">
        <v>40</v>
      </c>
      <c r="Q104" s="92"/>
      <c r="R104" s="12">
        <f>SUM(R101:R102)</f>
        <v>9078.1835667855958</v>
      </c>
      <c r="S104" s="140">
        <f>R104/Q88</f>
        <v>0.434492264013776</v>
      </c>
    </row>
    <row r="105" spans="2:20" s="108" customFormat="1" x14ac:dyDescent="0.3">
      <c r="C105" s="106"/>
      <c r="D105" s="110" t="s">
        <v>41</v>
      </c>
      <c r="E105" s="111">
        <f t="shared" ref="E105:P105" si="83">SUM(E89:E101)/E88</f>
        <v>0.70505385252692632</v>
      </c>
      <c r="F105" s="111">
        <f t="shared" si="83"/>
        <v>0.53960784313725485</v>
      </c>
      <c r="G105" s="111">
        <f t="shared" si="83"/>
        <v>0.78494248867201111</v>
      </c>
      <c r="H105" s="111">
        <f t="shared" si="83"/>
        <v>0.8465331278890601</v>
      </c>
      <c r="I105" s="111">
        <f t="shared" si="83"/>
        <v>0.87834438600503084</v>
      </c>
      <c r="J105" s="111">
        <f t="shared" si="83"/>
        <v>0.35584518167456558</v>
      </c>
      <c r="K105" s="111">
        <f t="shared" si="83"/>
        <v>0.82919669068588198</v>
      </c>
      <c r="L105" s="111">
        <f t="shared" si="83"/>
        <v>0.90751445086705196</v>
      </c>
      <c r="M105" s="111">
        <f t="shared" si="83"/>
        <v>0.96875000000000011</v>
      </c>
      <c r="N105" s="111">
        <f t="shared" si="83"/>
        <v>1.0000000000000002</v>
      </c>
      <c r="O105" s="111">
        <f t="shared" si="83"/>
        <v>0.86353467561521258</v>
      </c>
      <c r="P105" s="111">
        <f t="shared" si="83"/>
        <v>0.92430278884462147</v>
      </c>
      <c r="Q105" s="111">
        <f>SUM(E89:P101)/Q88</f>
        <v>0.73489460625422931</v>
      </c>
      <c r="R105" s="106"/>
    </row>
    <row r="108" spans="2:20" x14ac:dyDescent="0.3">
      <c r="B108" s="32" t="s">
        <v>45</v>
      </c>
      <c r="C108" s="13"/>
      <c r="D108" s="33"/>
      <c r="E108" s="13"/>
      <c r="F108" s="92"/>
      <c r="G108" s="45">
        <f>G86</f>
        <v>-0.03</v>
      </c>
      <c r="H108" s="92"/>
      <c r="I108" s="92"/>
      <c r="J108" s="115" t="s">
        <v>46</v>
      </c>
      <c r="K108" s="115">
        <f>SUM(B90)</f>
        <v>2026</v>
      </c>
      <c r="L108" s="92"/>
      <c r="M108" s="92"/>
      <c r="N108" s="92"/>
      <c r="O108" s="92"/>
      <c r="P108" s="92"/>
      <c r="Q108" s="92"/>
      <c r="R108" s="92"/>
      <c r="S108" s="92"/>
      <c r="T108" s="92"/>
    </row>
    <row r="109" spans="2:20" ht="26.25" x14ac:dyDescent="0.3">
      <c r="B109" s="92"/>
      <c r="C109" s="15" t="s">
        <v>47</v>
      </c>
      <c r="D109" s="35" t="s">
        <v>44</v>
      </c>
      <c r="E109" s="116" t="s">
        <v>13</v>
      </c>
      <c r="F109" s="116" t="s">
        <v>14</v>
      </c>
      <c r="G109" s="116" t="s">
        <v>15</v>
      </c>
      <c r="H109" s="116" t="s">
        <v>16</v>
      </c>
      <c r="I109" s="116" t="s">
        <v>17</v>
      </c>
      <c r="J109" s="98" t="s">
        <v>18</v>
      </c>
      <c r="K109" s="116" t="s">
        <v>19</v>
      </c>
      <c r="L109" s="116" t="s">
        <v>20</v>
      </c>
      <c r="M109" s="116" t="s">
        <v>21</v>
      </c>
      <c r="N109" s="116" t="s">
        <v>22</v>
      </c>
      <c r="O109" s="116" t="s">
        <v>23</v>
      </c>
      <c r="P109" s="116" t="s">
        <v>24</v>
      </c>
      <c r="Q109" s="53" t="s">
        <v>25</v>
      </c>
      <c r="R109" s="92"/>
      <c r="S109" s="12" t="s">
        <v>11</v>
      </c>
      <c r="T109" s="12"/>
    </row>
    <row r="110" spans="2:20" x14ac:dyDescent="0.3">
      <c r="B110" s="92"/>
      <c r="C110" s="15"/>
      <c r="D110" s="35"/>
      <c r="E110" s="114">
        <f>SUM(Q89)</f>
        <v>2551.8971875164657</v>
      </c>
      <c r="F110" s="114">
        <f>SUM(Q90)</f>
        <v>1194.1933226972449</v>
      </c>
      <c r="G110" s="114">
        <f>SUM(Q91)</f>
        <v>2663.5935754235056</v>
      </c>
      <c r="H110" s="114">
        <f>SUM(Q92)</f>
        <v>2900.7663129626098</v>
      </c>
      <c r="I110" s="114">
        <f>SUM(Q93)</f>
        <v>3730.9440673809454</v>
      </c>
      <c r="J110" s="114">
        <f>SUM(Q94)</f>
        <v>3190.8678313940145</v>
      </c>
      <c r="K110" s="114">
        <f>SUM(Q95)</f>
        <v>3214.0770532235765</v>
      </c>
      <c r="L110" s="114">
        <f>SUM(Q96)</f>
        <v>76.544384704988204</v>
      </c>
      <c r="M110" s="114">
        <f>SUM(Q97)</f>
        <v>47.244036139824395</v>
      </c>
      <c r="N110" s="114">
        <f>SUM(Q98)</f>
        <v>56.799584792833421</v>
      </c>
      <c r="O110" s="114">
        <f>SUM(Q99)</f>
        <v>818.40940923557389</v>
      </c>
      <c r="P110" s="114">
        <f>SUM(Q100)</f>
        <v>319.47458314100152</v>
      </c>
      <c r="Q110" s="117">
        <f>SUM(E110:P110)</f>
        <v>20764.81134861258</v>
      </c>
      <c r="R110" s="92"/>
      <c r="S110" s="92"/>
      <c r="T110" s="92"/>
    </row>
    <row r="111" spans="2:20" x14ac:dyDescent="0.3">
      <c r="B111" s="104" t="s">
        <v>8</v>
      </c>
      <c r="C111" s="101" t="s">
        <v>26</v>
      </c>
      <c r="D111" s="47">
        <f>($G$108*D6) + D6</f>
        <v>2109.75</v>
      </c>
      <c r="E111" s="36">
        <f t="shared" ref="E111:P111" si="84">SUM(E26*E$110)</f>
        <v>0</v>
      </c>
      <c r="F111" s="37">
        <f t="shared" si="84"/>
        <v>0</v>
      </c>
      <c r="G111" s="37">
        <f t="shared" si="84"/>
        <v>0</v>
      </c>
      <c r="H111" s="37">
        <f t="shared" si="84"/>
        <v>0</v>
      </c>
      <c r="I111" s="37">
        <f t="shared" si="84"/>
        <v>0</v>
      </c>
      <c r="J111" s="37">
        <f t="shared" si="84"/>
        <v>442.33594345153989</v>
      </c>
      <c r="K111" s="37">
        <f t="shared" si="84"/>
        <v>0</v>
      </c>
      <c r="L111" s="37">
        <f t="shared" si="84"/>
        <v>0</v>
      </c>
      <c r="M111" s="37">
        <f t="shared" si="84"/>
        <v>0</v>
      </c>
      <c r="N111" s="37">
        <f t="shared" si="84"/>
        <v>0</v>
      </c>
      <c r="O111" s="37">
        <f t="shared" si="84"/>
        <v>0</v>
      </c>
      <c r="P111" s="38">
        <f t="shared" si="84"/>
        <v>0</v>
      </c>
      <c r="Q111" s="12">
        <f>SUM(D111:P111)</f>
        <v>2552.0859434515401</v>
      </c>
      <c r="R111" s="92"/>
      <c r="S111" s="92"/>
      <c r="T111" s="92"/>
    </row>
    <row r="112" spans="2:20" x14ac:dyDescent="0.3">
      <c r="B112" s="105">
        <f>SUM(K108+1)</f>
        <v>2027</v>
      </c>
      <c r="C112" s="101" t="s">
        <v>27</v>
      </c>
      <c r="D112" s="47">
        <f t="shared" ref="D112:D122" si="85">($G$108*D7) + D7</f>
        <v>533.5</v>
      </c>
      <c r="E112" s="39">
        <f t="shared" ref="E112:P112" si="86">SUM(E27*E$110)</f>
        <v>574.01829860043119</v>
      </c>
      <c r="F112" s="40">
        <f t="shared" si="86"/>
        <v>87.105865890857856</v>
      </c>
      <c r="G112" s="40">
        <f t="shared" si="86"/>
        <v>0</v>
      </c>
      <c r="H112" s="40">
        <f t="shared" si="86"/>
        <v>0</v>
      </c>
      <c r="I112" s="40">
        <f t="shared" si="86"/>
        <v>0</v>
      </c>
      <c r="J112" s="40">
        <f t="shared" si="86"/>
        <v>0</v>
      </c>
      <c r="K112" s="40">
        <f t="shared" si="86"/>
        <v>0</v>
      </c>
      <c r="L112" s="40">
        <f t="shared" si="86"/>
        <v>0</v>
      </c>
      <c r="M112" s="40">
        <f t="shared" si="86"/>
        <v>0</v>
      </c>
      <c r="N112" s="40">
        <f t="shared" si="86"/>
        <v>0</v>
      </c>
      <c r="O112" s="40">
        <f t="shared" si="86"/>
        <v>0</v>
      </c>
      <c r="P112" s="41">
        <f t="shared" si="86"/>
        <v>0</v>
      </c>
      <c r="Q112" s="12">
        <f t="shared" ref="Q112:Q122" si="87">SUM(D112:P112)</f>
        <v>1194.6241644912889</v>
      </c>
      <c r="R112" s="92"/>
      <c r="S112" s="92"/>
      <c r="T112" s="92"/>
    </row>
    <row r="113" spans="2:20" x14ac:dyDescent="0.3">
      <c r="B113" s="107"/>
      <c r="C113" s="101" t="s">
        <v>28</v>
      </c>
      <c r="D113" s="47">
        <f t="shared" si="85"/>
        <v>631.47</v>
      </c>
      <c r="E113" s="39">
        <f t="shared" ref="E113:P113" si="88">SUM(E28*E$110)</f>
        <v>1159.6649605242596</v>
      </c>
      <c r="F113" s="40">
        <f t="shared" si="88"/>
        <v>495.47315114262159</v>
      </c>
      <c r="G113" s="40">
        <f t="shared" si="88"/>
        <v>377.86078257140707</v>
      </c>
      <c r="H113" s="40">
        <f t="shared" si="88"/>
        <v>0</v>
      </c>
      <c r="I113" s="40">
        <f t="shared" si="88"/>
        <v>0</v>
      </c>
      <c r="J113" s="40">
        <f t="shared" si="88"/>
        <v>1.2602163631098002</v>
      </c>
      <c r="K113" s="40">
        <f t="shared" si="88"/>
        <v>0</v>
      </c>
      <c r="L113" s="40">
        <f t="shared" si="88"/>
        <v>0</v>
      </c>
      <c r="M113" s="40">
        <f t="shared" si="88"/>
        <v>0</v>
      </c>
      <c r="N113" s="40">
        <f t="shared" si="88"/>
        <v>0</v>
      </c>
      <c r="O113" s="40">
        <f t="shared" si="88"/>
        <v>0</v>
      </c>
      <c r="P113" s="41">
        <f t="shared" si="88"/>
        <v>0</v>
      </c>
      <c r="Q113" s="12">
        <f t="shared" si="87"/>
        <v>2665.7291106013981</v>
      </c>
      <c r="R113" s="92"/>
      <c r="S113" s="92"/>
      <c r="T113" s="92"/>
    </row>
    <row r="114" spans="2:20" x14ac:dyDescent="0.3">
      <c r="B114" s="107"/>
      <c r="C114" s="101" t="s">
        <v>29</v>
      </c>
      <c r="D114" s="47">
        <f t="shared" si="85"/>
        <v>795.4</v>
      </c>
      <c r="E114" s="39">
        <f t="shared" ref="E114:P114" si="89">SUM(E29*E$110)</f>
        <v>62.370312370949243</v>
      </c>
      <c r="F114" s="40">
        <f t="shared" si="89"/>
        <v>61.817066116092676</v>
      </c>
      <c r="G114" s="40">
        <f t="shared" si="89"/>
        <v>1581.0734956243393</v>
      </c>
      <c r="H114" s="40">
        <f t="shared" si="89"/>
        <v>402.26343323056221</v>
      </c>
      <c r="I114" s="40">
        <f t="shared" si="89"/>
        <v>0.8531772392821737</v>
      </c>
      <c r="J114" s="40">
        <f t="shared" si="89"/>
        <v>0</v>
      </c>
      <c r="K114" s="40">
        <f t="shared" si="89"/>
        <v>0</v>
      </c>
      <c r="L114" s="40">
        <f t="shared" si="89"/>
        <v>0</v>
      </c>
      <c r="M114" s="40">
        <f t="shared" si="89"/>
        <v>0</v>
      </c>
      <c r="N114" s="40">
        <f t="shared" si="89"/>
        <v>0</v>
      </c>
      <c r="O114" s="40">
        <f t="shared" si="89"/>
        <v>0</v>
      </c>
      <c r="P114" s="41">
        <f t="shared" si="89"/>
        <v>0</v>
      </c>
      <c r="Q114" s="12">
        <f t="shared" si="87"/>
        <v>2903.777484581226</v>
      </c>
      <c r="R114" s="92"/>
      <c r="S114" s="92"/>
      <c r="T114" s="92"/>
    </row>
    <row r="115" spans="2:20" x14ac:dyDescent="0.3">
      <c r="B115" s="107"/>
      <c r="C115" s="101" t="s">
        <v>30</v>
      </c>
      <c r="D115" s="47">
        <f t="shared" si="85"/>
        <v>622.74</v>
      </c>
      <c r="E115" s="39">
        <f t="shared" ref="E115:P115" si="90">SUM(E30*E$110)</f>
        <v>3.1713718154719954</v>
      </c>
      <c r="F115" s="40">
        <f t="shared" si="90"/>
        <v>0</v>
      </c>
      <c r="G115" s="40">
        <f t="shared" si="90"/>
        <v>129.97668196559457</v>
      </c>
      <c r="H115" s="40">
        <f t="shared" si="90"/>
        <v>1868.2901676708334</v>
      </c>
      <c r="I115" s="40">
        <f t="shared" si="90"/>
        <v>1077.5628532133853</v>
      </c>
      <c r="J115" s="40">
        <f t="shared" si="90"/>
        <v>7.5612981786588023</v>
      </c>
      <c r="K115" s="40">
        <f t="shared" si="90"/>
        <v>0</v>
      </c>
      <c r="L115" s="40">
        <f t="shared" si="90"/>
        <v>0</v>
      </c>
      <c r="M115" s="40">
        <f t="shared" si="90"/>
        <v>0</v>
      </c>
      <c r="N115" s="40">
        <f t="shared" si="90"/>
        <v>0</v>
      </c>
      <c r="O115" s="40">
        <f t="shared" si="90"/>
        <v>0</v>
      </c>
      <c r="P115" s="41">
        <f t="shared" si="90"/>
        <v>0</v>
      </c>
      <c r="Q115" s="12">
        <f t="shared" si="87"/>
        <v>3709.3023728439439</v>
      </c>
      <c r="R115" s="92"/>
      <c r="S115" s="92"/>
      <c r="T115" s="92"/>
    </row>
    <row r="116" spans="2:20" x14ac:dyDescent="0.3">
      <c r="B116" s="107"/>
      <c r="C116" s="101" t="s">
        <v>18</v>
      </c>
      <c r="D116" s="47">
        <f t="shared" si="85"/>
        <v>2494.84</v>
      </c>
      <c r="E116" s="39">
        <f t="shared" ref="E116:P116" si="91">SUM(E31*E$110)</f>
        <v>0</v>
      </c>
      <c r="F116" s="40">
        <f t="shared" si="91"/>
        <v>0</v>
      </c>
      <c r="G116" s="40">
        <f t="shared" si="91"/>
        <v>0.92840487118281823</v>
      </c>
      <c r="H116" s="40">
        <f t="shared" si="91"/>
        <v>0</v>
      </c>
      <c r="I116" s="40">
        <f t="shared" si="91"/>
        <v>13.650835828514779</v>
      </c>
      <c r="J116" s="40">
        <f t="shared" si="91"/>
        <v>677.99640335307265</v>
      </c>
      <c r="K116" s="40">
        <f t="shared" si="91"/>
        <v>3.4310937317572208</v>
      </c>
      <c r="L116" s="40">
        <f t="shared" si="91"/>
        <v>0</v>
      </c>
      <c r="M116" s="40">
        <f t="shared" si="91"/>
        <v>0</v>
      </c>
      <c r="N116" s="40">
        <f t="shared" si="91"/>
        <v>0</v>
      </c>
      <c r="O116" s="40">
        <f t="shared" si="91"/>
        <v>0</v>
      </c>
      <c r="P116" s="41">
        <f t="shared" si="91"/>
        <v>0</v>
      </c>
      <c r="Q116" s="12">
        <f t="shared" si="87"/>
        <v>3190.8467377845277</v>
      </c>
      <c r="R116" s="92"/>
      <c r="S116" s="92"/>
      <c r="T116" s="92"/>
    </row>
    <row r="117" spans="2:20" x14ac:dyDescent="0.3">
      <c r="B117" s="107"/>
      <c r="C117" s="101" t="s">
        <v>19</v>
      </c>
      <c r="D117" s="47">
        <f t="shared" si="85"/>
        <v>1420.08</v>
      </c>
      <c r="E117" s="39">
        <f t="shared" ref="E117:P117" si="92">SUM(E32*E$110)</f>
        <v>0</v>
      </c>
      <c r="F117" s="40">
        <f t="shared" si="92"/>
        <v>0</v>
      </c>
      <c r="G117" s="40">
        <f t="shared" si="92"/>
        <v>0</v>
      </c>
      <c r="H117" s="40">
        <f t="shared" si="92"/>
        <v>7.1513499240988843</v>
      </c>
      <c r="I117" s="40">
        <f t="shared" si="92"/>
        <v>177.46086577069212</v>
      </c>
      <c r="J117" s="40">
        <f t="shared" si="92"/>
        <v>6.3010818155490016</v>
      </c>
      <c r="K117" s="40">
        <f t="shared" si="92"/>
        <v>1570.5831557118677</v>
      </c>
      <c r="L117" s="40">
        <f t="shared" si="92"/>
        <v>0</v>
      </c>
      <c r="M117" s="40">
        <f t="shared" si="92"/>
        <v>0</v>
      </c>
      <c r="N117" s="40">
        <f t="shared" si="92"/>
        <v>0</v>
      </c>
      <c r="O117" s="40">
        <f t="shared" si="92"/>
        <v>2.7463402994482347</v>
      </c>
      <c r="P117" s="41">
        <f t="shared" si="92"/>
        <v>1.2728071041474165</v>
      </c>
      <c r="Q117" s="12">
        <f t="shared" si="87"/>
        <v>3185.5956006258029</v>
      </c>
      <c r="R117" s="92"/>
      <c r="S117" s="92"/>
      <c r="T117" s="92"/>
    </row>
    <row r="118" spans="2:20" x14ac:dyDescent="0.3">
      <c r="B118" s="107"/>
      <c r="C118" s="101" t="s">
        <v>31</v>
      </c>
      <c r="D118" s="47">
        <f t="shared" si="85"/>
        <v>70.81</v>
      </c>
      <c r="E118" s="39">
        <f t="shared" ref="E118:P118" si="93">SUM(E33*E$110)</f>
        <v>0</v>
      </c>
      <c r="F118" s="40">
        <f t="shared" si="93"/>
        <v>0</v>
      </c>
      <c r="G118" s="40">
        <f t="shared" si="93"/>
        <v>0</v>
      </c>
      <c r="H118" s="40">
        <f t="shared" si="93"/>
        <v>0.89391874051236053</v>
      </c>
      <c r="I118" s="40">
        <f t="shared" si="93"/>
        <v>1.7063544785643474</v>
      </c>
      <c r="J118" s="40">
        <f t="shared" si="93"/>
        <v>0</v>
      </c>
      <c r="K118" s="40">
        <f t="shared" si="93"/>
        <v>0</v>
      </c>
      <c r="L118" s="40">
        <f t="shared" si="93"/>
        <v>3.0971716354619505</v>
      </c>
      <c r="M118" s="40">
        <f t="shared" si="93"/>
        <v>0</v>
      </c>
      <c r="N118" s="40">
        <f t="shared" si="93"/>
        <v>0</v>
      </c>
      <c r="O118" s="40">
        <f t="shared" si="93"/>
        <v>0</v>
      </c>
      <c r="P118" s="41">
        <f t="shared" si="93"/>
        <v>0</v>
      </c>
      <c r="Q118" s="12">
        <f t="shared" si="87"/>
        <v>76.507444854538662</v>
      </c>
      <c r="R118" s="92"/>
      <c r="S118" s="92"/>
      <c r="T118" s="92"/>
    </row>
    <row r="119" spans="2:20" x14ac:dyDescent="0.3">
      <c r="B119" s="107"/>
      <c r="C119" s="101" t="s">
        <v>32</v>
      </c>
      <c r="D119" s="47">
        <f t="shared" si="85"/>
        <v>0</v>
      </c>
      <c r="E119" s="39">
        <f t="shared" ref="E119:P119" si="94">SUM(E34*E$110)</f>
        <v>0</v>
      </c>
      <c r="F119" s="40">
        <f t="shared" si="94"/>
        <v>0</v>
      </c>
      <c r="G119" s="40">
        <f t="shared" si="94"/>
        <v>0</v>
      </c>
      <c r="H119" s="40">
        <f t="shared" si="94"/>
        <v>0</v>
      </c>
      <c r="I119" s="40">
        <f t="shared" si="94"/>
        <v>0.8531772392821737</v>
      </c>
      <c r="J119" s="40">
        <f t="shared" si="94"/>
        <v>0</v>
      </c>
      <c r="K119" s="40">
        <f t="shared" si="94"/>
        <v>0</v>
      </c>
      <c r="L119" s="40">
        <f t="shared" si="94"/>
        <v>45.572668350368701</v>
      </c>
      <c r="M119" s="40">
        <f t="shared" si="94"/>
        <v>0.73818806468475617</v>
      </c>
      <c r="N119" s="40">
        <f t="shared" si="94"/>
        <v>0</v>
      </c>
      <c r="O119" s="40">
        <f t="shared" si="94"/>
        <v>0</v>
      </c>
      <c r="P119" s="41">
        <f t="shared" si="94"/>
        <v>0</v>
      </c>
      <c r="Q119" s="12">
        <f t="shared" si="87"/>
        <v>47.164033654335633</v>
      </c>
      <c r="R119" s="92"/>
      <c r="S119" s="92"/>
      <c r="T119" s="92"/>
    </row>
    <row r="120" spans="2:20" x14ac:dyDescent="0.3">
      <c r="B120" s="107"/>
      <c r="C120" s="101" t="s">
        <v>33</v>
      </c>
      <c r="D120" s="47">
        <f t="shared" si="85"/>
        <v>0.97</v>
      </c>
      <c r="E120" s="39">
        <f t="shared" ref="E120:P120" si="95">SUM(E35*E$110)</f>
        <v>0</v>
      </c>
      <c r="F120" s="40">
        <f t="shared" si="95"/>
        <v>0</v>
      </c>
      <c r="G120" s="40">
        <f t="shared" si="95"/>
        <v>0</v>
      </c>
      <c r="H120" s="40">
        <f t="shared" si="95"/>
        <v>0</v>
      </c>
      <c r="I120" s="40">
        <f t="shared" si="95"/>
        <v>0</v>
      </c>
      <c r="J120" s="40">
        <f t="shared" si="95"/>
        <v>0</v>
      </c>
      <c r="K120" s="40">
        <f t="shared" si="95"/>
        <v>0</v>
      </c>
      <c r="L120" s="40">
        <f t="shared" si="95"/>
        <v>20.795295266673094</v>
      </c>
      <c r="M120" s="40">
        <f t="shared" si="95"/>
        <v>32.480274846129269</v>
      </c>
      <c r="N120" s="40">
        <f t="shared" si="95"/>
        <v>2.1299844297312531</v>
      </c>
      <c r="O120" s="40">
        <f t="shared" si="95"/>
        <v>0</v>
      </c>
      <c r="P120" s="41">
        <f t="shared" si="95"/>
        <v>0</v>
      </c>
      <c r="Q120" s="12">
        <f t="shared" si="87"/>
        <v>56.375554542533614</v>
      </c>
      <c r="R120" s="92"/>
      <c r="S120" s="92"/>
      <c r="T120" s="92"/>
    </row>
    <row r="121" spans="2:20" x14ac:dyDescent="0.3">
      <c r="B121" s="107"/>
      <c r="C121" s="101" t="s">
        <v>34</v>
      </c>
      <c r="D121" s="47">
        <f t="shared" si="85"/>
        <v>258.99</v>
      </c>
      <c r="E121" s="39">
        <f t="shared" ref="E121:P121" si="96">SUM(E36*E$110)</f>
        <v>0</v>
      </c>
      <c r="F121" s="40">
        <f t="shared" si="96"/>
        <v>0</v>
      </c>
      <c r="G121" s="40">
        <f t="shared" si="96"/>
        <v>0</v>
      </c>
      <c r="H121" s="40">
        <f t="shared" si="96"/>
        <v>0</v>
      </c>
      <c r="I121" s="40">
        <f t="shared" si="96"/>
        <v>7.6785951535395638</v>
      </c>
      <c r="J121" s="40">
        <f t="shared" si="96"/>
        <v>0</v>
      </c>
      <c r="K121" s="40">
        <f t="shared" si="96"/>
        <v>26.590976421118459</v>
      </c>
      <c r="L121" s="40">
        <f t="shared" si="96"/>
        <v>0</v>
      </c>
      <c r="M121" s="40">
        <f t="shared" si="96"/>
        <v>0</v>
      </c>
      <c r="N121" s="40">
        <f t="shared" si="96"/>
        <v>0</v>
      </c>
      <c r="O121" s="40">
        <f t="shared" si="96"/>
        <v>513.56563599681988</v>
      </c>
      <c r="P121" s="41">
        <f t="shared" si="96"/>
        <v>3.8184213124422492</v>
      </c>
      <c r="Q121" s="12">
        <f t="shared" si="87"/>
        <v>810.6436288839202</v>
      </c>
      <c r="R121" s="92"/>
      <c r="S121" s="92"/>
      <c r="T121" s="92"/>
    </row>
    <row r="122" spans="2:20" x14ac:dyDescent="0.3">
      <c r="B122" s="107"/>
      <c r="C122" s="101" t="s">
        <v>35</v>
      </c>
      <c r="D122" s="47">
        <f t="shared" si="85"/>
        <v>10.67</v>
      </c>
      <c r="E122" s="39">
        <f t="shared" ref="E122:P122" si="97">SUM(E37*E$110)</f>
        <v>0</v>
      </c>
      <c r="F122" s="40">
        <f t="shared" si="97"/>
        <v>0</v>
      </c>
      <c r="G122" s="40">
        <f t="shared" si="97"/>
        <v>0</v>
      </c>
      <c r="H122" s="40">
        <f t="shared" si="97"/>
        <v>0</v>
      </c>
      <c r="I122" s="40">
        <f t="shared" si="97"/>
        <v>0</v>
      </c>
      <c r="J122" s="40">
        <f t="shared" si="97"/>
        <v>0</v>
      </c>
      <c r="K122" s="40">
        <f t="shared" si="97"/>
        <v>0.85777343293930519</v>
      </c>
      <c r="L122" s="40">
        <f t="shared" si="97"/>
        <v>0</v>
      </c>
      <c r="M122" s="40">
        <f t="shared" si="97"/>
        <v>0</v>
      </c>
      <c r="N122" s="40">
        <f t="shared" si="97"/>
        <v>0</v>
      </c>
      <c r="O122" s="40">
        <f t="shared" si="97"/>
        <v>122.66986670868779</v>
      </c>
      <c r="P122" s="41">
        <f t="shared" si="97"/>
        <v>184.5570301013754</v>
      </c>
      <c r="Q122" s="12">
        <f t="shared" si="87"/>
        <v>318.75467024300247</v>
      </c>
      <c r="R122" s="92"/>
      <c r="S122" s="92"/>
      <c r="T122" s="92"/>
    </row>
    <row r="123" spans="2:20" x14ac:dyDescent="0.3">
      <c r="B123" s="92"/>
      <c r="C123" s="12" t="s">
        <v>36</v>
      </c>
      <c r="D123" s="47" t="s">
        <v>11</v>
      </c>
      <c r="E123" s="39">
        <f t="shared" ref="E123:P123" si="98">SUM(E38*E$110)</f>
        <v>0</v>
      </c>
      <c r="F123" s="40">
        <f t="shared" si="98"/>
        <v>0</v>
      </c>
      <c r="G123" s="40">
        <f t="shared" si="98"/>
        <v>0.92840487118281823</v>
      </c>
      <c r="H123" s="40">
        <f t="shared" si="98"/>
        <v>176.99591062144739</v>
      </c>
      <c r="I123" s="40">
        <f t="shared" si="98"/>
        <v>1997.2879171595687</v>
      </c>
      <c r="J123" s="40">
        <f t="shared" si="98"/>
        <v>0</v>
      </c>
      <c r="K123" s="40">
        <f t="shared" si="98"/>
        <v>1063.6390568447384</v>
      </c>
      <c r="L123" s="40">
        <f t="shared" si="98"/>
        <v>0</v>
      </c>
      <c r="M123" s="40">
        <f t="shared" si="98"/>
        <v>12.549197099640855</v>
      </c>
      <c r="N123" s="40">
        <f t="shared" si="98"/>
        <v>54.66960036310217</v>
      </c>
      <c r="O123" s="40">
        <f t="shared" si="98"/>
        <v>67.743060719723118</v>
      </c>
      <c r="P123" s="41">
        <f t="shared" si="98"/>
        <v>105.64298964423556</v>
      </c>
      <c r="Q123" s="92"/>
      <c r="R123" s="66">
        <f>SUM(E123:P123)</f>
        <v>3479.4561373236388</v>
      </c>
    </row>
    <row r="124" spans="2:20" x14ac:dyDescent="0.3">
      <c r="B124" s="92"/>
      <c r="C124" s="12" t="s">
        <v>37</v>
      </c>
      <c r="D124" s="47" t="s">
        <v>11</v>
      </c>
      <c r="E124" s="42">
        <f t="shared" ref="E124:P124" si="99">SUM(E39*E$110)</f>
        <v>752.67224420535342</v>
      </c>
      <c r="F124" s="43">
        <f t="shared" si="99"/>
        <v>549.79723954767269</v>
      </c>
      <c r="G124" s="43">
        <f t="shared" si="99"/>
        <v>572.82580551979902</v>
      </c>
      <c r="H124" s="43">
        <f t="shared" si="99"/>
        <v>445.17153277515553</v>
      </c>
      <c r="I124" s="43">
        <f t="shared" si="99"/>
        <v>453.89029129811649</v>
      </c>
      <c r="J124" s="43">
        <f t="shared" si="99"/>
        <v>2055.4128882320842</v>
      </c>
      <c r="K124" s="43">
        <f t="shared" si="99"/>
        <v>548.97499708115549</v>
      </c>
      <c r="L124" s="43">
        <f t="shared" si="99"/>
        <v>7.0792494524844543</v>
      </c>
      <c r="M124" s="43">
        <f t="shared" si="99"/>
        <v>1.4763761293695123</v>
      </c>
      <c r="N124" s="43">
        <f t="shared" si="99"/>
        <v>0</v>
      </c>
      <c r="O124" s="43">
        <f t="shared" si="99"/>
        <v>111.68450551089484</v>
      </c>
      <c r="P124" s="44">
        <f t="shared" si="99"/>
        <v>24.18333497880089</v>
      </c>
      <c r="Q124" s="92"/>
      <c r="R124" s="66">
        <f>SUM(E124:P124)</f>
        <v>5523.1684647308875</v>
      </c>
    </row>
    <row r="125" spans="2:20" x14ac:dyDescent="0.3">
      <c r="B125" s="92"/>
      <c r="C125" s="18" t="s">
        <v>25</v>
      </c>
      <c r="D125" s="12">
        <f>SUM(D111:D124)</f>
        <v>8949.2199999999993</v>
      </c>
      <c r="E125" s="12" t="s">
        <v>11</v>
      </c>
      <c r="F125" s="12" t="s">
        <v>11</v>
      </c>
      <c r="G125" s="12" t="s">
        <v>11</v>
      </c>
      <c r="H125" s="12" t="s">
        <v>11</v>
      </c>
      <c r="I125" s="12" t="s">
        <v>11</v>
      </c>
      <c r="J125" s="12" t="s">
        <v>11</v>
      </c>
      <c r="K125" s="12" t="s">
        <v>11</v>
      </c>
      <c r="L125" s="12" t="s">
        <v>11</v>
      </c>
      <c r="M125" s="12" t="s">
        <v>11</v>
      </c>
      <c r="N125" s="12" t="s">
        <v>11</v>
      </c>
      <c r="O125" s="12" t="s">
        <v>39</v>
      </c>
      <c r="P125" s="92"/>
      <c r="Q125" s="12">
        <f>SUM(Q111:Q122)</f>
        <v>20711.406746558056</v>
      </c>
      <c r="R125" s="92"/>
    </row>
    <row r="126" spans="2:20" x14ac:dyDescent="0.3"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12" t="s">
        <v>40</v>
      </c>
      <c r="Q126" s="92"/>
      <c r="R126" s="12">
        <f>SUM(R123:R124)</f>
        <v>9002.6246020545259</v>
      </c>
    </row>
    <row r="127" spans="2:20" s="108" customFormat="1" x14ac:dyDescent="0.3">
      <c r="B127" s="106"/>
      <c r="C127" s="106"/>
      <c r="D127" s="110" t="s">
        <v>41</v>
      </c>
      <c r="E127" s="111">
        <f t="shared" ref="E127:P127" si="100">SUM(E111:E123)/E110</f>
        <v>0.70505385252692621</v>
      </c>
      <c r="F127" s="111">
        <f t="shared" si="100"/>
        <v>0.53960784313725485</v>
      </c>
      <c r="G127" s="111">
        <f t="shared" si="100"/>
        <v>0.78494248867201111</v>
      </c>
      <c r="H127" s="111">
        <f t="shared" si="100"/>
        <v>0.84653312788905999</v>
      </c>
      <c r="I127" s="111">
        <f t="shared" si="100"/>
        <v>0.87834438600503095</v>
      </c>
      <c r="J127" s="111">
        <f t="shared" si="100"/>
        <v>0.35584518167456558</v>
      </c>
      <c r="K127" s="111">
        <f t="shared" si="100"/>
        <v>0.82919669068588198</v>
      </c>
      <c r="L127" s="111">
        <f t="shared" si="100"/>
        <v>0.90751445086705196</v>
      </c>
      <c r="M127" s="111">
        <f t="shared" si="100"/>
        <v>0.96875</v>
      </c>
      <c r="N127" s="111">
        <f t="shared" si="100"/>
        <v>1</v>
      </c>
      <c r="O127" s="111">
        <f t="shared" si="100"/>
        <v>0.86353467561521247</v>
      </c>
      <c r="P127" s="111">
        <f t="shared" si="100"/>
        <v>0.92430278884462169</v>
      </c>
      <c r="Q127" s="111">
        <f>SUM(E111:P123)/Q110</f>
        <v>0.73401306797328969</v>
      </c>
      <c r="R127" s="106"/>
    </row>
    <row r="130" spans="2:19" x14ac:dyDescent="0.3">
      <c r="B130" s="32" t="s">
        <v>45</v>
      </c>
      <c r="C130" s="13"/>
      <c r="D130" s="33"/>
      <c r="E130" s="13"/>
      <c r="F130" s="92"/>
      <c r="G130" s="45">
        <f>G108</f>
        <v>-0.03</v>
      </c>
      <c r="H130" s="92"/>
      <c r="I130" s="92"/>
      <c r="J130" s="115" t="s">
        <v>46</v>
      </c>
      <c r="K130" s="115">
        <f>SUM(B112)</f>
        <v>2027</v>
      </c>
      <c r="L130" s="92"/>
      <c r="M130" s="92"/>
      <c r="N130" s="92"/>
      <c r="O130" s="92"/>
      <c r="P130" s="92"/>
      <c r="Q130" s="92"/>
      <c r="R130" s="92"/>
      <c r="S130" s="92"/>
    </row>
    <row r="131" spans="2:19" ht="26.25" x14ac:dyDescent="0.3">
      <c r="B131" s="92"/>
      <c r="C131" s="15" t="s">
        <v>47</v>
      </c>
      <c r="D131" s="35" t="s">
        <v>44</v>
      </c>
      <c r="E131" s="116" t="s">
        <v>13</v>
      </c>
      <c r="F131" s="116" t="s">
        <v>14</v>
      </c>
      <c r="G131" s="116" t="s">
        <v>15</v>
      </c>
      <c r="H131" s="116" t="s">
        <v>16</v>
      </c>
      <c r="I131" s="116" t="s">
        <v>17</v>
      </c>
      <c r="J131" s="98" t="s">
        <v>18</v>
      </c>
      <c r="K131" s="116" t="s">
        <v>19</v>
      </c>
      <c r="L131" s="116" t="s">
        <v>20</v>
      </c>
      <c r="M131" s="116" t="s">
        <v>21</v>
      </c>
      <c r="N131" s="116" t="s">
        <v>22</v>
      </c>
      <c r="O131" s="116" t="s">
        <v>23</v>
      </c>
      <c r="P131" s="116" t="s">
        <v>24</v>
      </c>
      <c r="Q131" s="53" t="s">
        <v>25</v>
      </c>
      <c r="R131" s="92"/>
      <c r="S131" s="12" t="s">
        <v>11</v>
      </c>
    </row>
    <row r="132" spans="2:19" x14ac:dyDescent="0.3">
      <c r="B132" s="92"/>
      <c r="C132" s="15"/>
      <c r="D132" s="35"/>
      <c r="E132" s="114">
        <f>SUM(Q111)</f>
        <v>2552.0859434515401</v>
      </c>
      <c r="F132" s="114">
        <f>SUM(Q112)</f>
        <v>1194.6241644912889</v>
      </c>
      <c r="G132" s="114">
        <f>SUM(Q113)</f>
        <v>2665.7291106013981</v>
      </c>
      <c r="H132" s="114">
        <f>SUM(Q114)</f>
        <v>2903.777484581226</v>
      </c>
      <c r="I132" s="114">
        <f>SUM(Q115)</f>
        <v>3709.3023728439439</v>
      </c>
      <c r="J132" s="114">
        <f>SUM(Q116)</f>
        <v>3190.8467377845277</v>
      </c>
      <c r="K132" s="114">
        <f>SUM(Q117)</f>
        <v>3185.5956006258029</v>
      </c>
      <c r="L132" s="114">
        <f>SUM(Q118)</f>
        <v>76.507444854538662</v>
      </c>
      <c r="M132" s="114">
        <f>SUM(Q119)</f>
        <v>47.164033654335633</v>
      </c>
      <c r="N132" s="114">
        <f>SUM(Q120)</f>
        <v>56.375554542533614</v>
      </c>
      <c r="O132" s="114">
        <f>SUM(Q121)</f>
        <v>810.6436288839202</v>
      </c>
      <c r="P132" s="114">
        <f>SUM(Q122)</f>
        <v>318.75467024300247</v>
      </c>
      <c r="Q132" s="117">
        <f>SUM(E132:P132)</f>
        <v>20711.406746558056</v>
      </c>
      <c r="R132" s="92"/>
      <c r="S132" s="92"/>
    </row>
    <row r="133" spans="2:19" x14ac:dyDescent="0.3">
      <c r="B133" s="104" t="s">
        <v>8</v>
      </c>
      <c r="C133" s="101" t="s">
        <v>26</v>
      </c>
      <c r="D133" s="47">
        <f>($G$108*D6) + D6</f>
        <v>2109.75</v>
      </c>
      <c r="E133" s="36">
        <f t="shared" ref="E133:O133" si="101">SUM(E26*E$132)</f>
        <v>0</v>
      </c>
      <c r="F133" s="37">
        <f t="shared" si="101"/>
        <v>0</v>
      </c>
      <c r="G133" s="37">
        <f t="shared" si="101"/>
        <v>0</v>
      </c>
      <c r="H133" s="37">
        <f t="shared" si="101"/>
        <v>0</v>
      </c>
      <c r="I133" s="37">
        <f t="shared" si="101"/>
        <v>0</v>
      </c>
      <c r="J133" s="37">
        <f t="shared" si="101"/>
        <v>442.33301933742854</v>
      </c>
      <c r="K133" s="37">
        <f t="shared" si="101"/>
        <v>0</v>
      </c>
      <c r="L133" s="37">
        <f t="shared" si="101"/>
        <v>0</v>
      </c>
      <c r="M133" s="37">
        <f t="shared" si="101"/>
        <v>0</v>
      </c>
      <c r="N133" s="37">
        <f t="shared" si="101"/>
        <v>0</v>
      </c>
      <c r="O133" s="37">
        <f t="shared" si="101"/>
        <v>0</v>
      </c>
      <c r="P133" s="38">
        <f>SUM(P26*P$110)</f>
        <v>0</v>
      </c>
      <c r="Q133" s="12">
        <f>SUM(D133:P133)</f>
        <v>2552.0830193374286</v>
      </c>
      <c r="R133" s="92"/>
      <c r="S133" s="92"/>
    </row>
    <row r="134" spans="2:19" x14ac:dyDescent="0.3">
      <c r="B134" s="105">
        <f>SUM(K130+1)</f>
        <v>2028</v>
      </c>
      <c r="C134" s="101" t="s">
        <v>27</v>
      </c>
      <c r="D134" s="47">
        <f t="shared" ref="D134:D147" si="102">($G$108*D7) + D7</f>
        <v>533.5</v>
      </c>
      <c r="E134" s="36">
        <f t="shared" ref="E134:O134" si="103">SUM(E27*E$132)</f>
        <v>574.06075695699519</v>
      </c>
      <c r="F134" s="37">
        <f t="shared" si="103"/>
        <v>87.137291998188118</v>
      </c>
      <c r="G134" s="37">
        <f t="shared" si="103"/>
        <v>0</v>
      </c>
      <c r="H134" s="37">
        <f t="shared" si="103"/>
        <v>0</v>
      </c>
      <c r="I134" s="37">
        <f t="shared" si="103"/>
        <v>0</v>
      </c>
      <c r="J134" s="37">
        <f t="shared" si="103"/>
        <v>0</v>
      </c>
      <c r="K134" s="37">
        <f t="shared" si="103"/>
        <v>0</v>
      </c>
      <c r="L134" s="37">
        <f t="shared" si="103"/>
        <v>0</v>
      </c>
      <c r="M134" s="37">
        <f t="shared" si="103"/>
        <v>0</v>
      </c>
      <c r="N134" s="37">
        <f t="shared" si="103"/>
        <v>0</v>
      </c>
      <c r="O134" s="37">
        <f t="shared" si="103"/>
        <v>0</v>
      </c>
      <c r="P134" s="38">
        <f t="shared" ref="P134:P146" si="104">SUM(P27*P$110)</f>
        <v>0</v>
      </c>
      <c r="Q134" s="12">
        <f t="shared" ref="Q134:Q144" si="105">SUM(D134:P134)</f>
        <v>1194.6980489551834</v>
      </c>
      <c r="R134" s="92"/>
      <c r="S134" s="92"/>
    </row>
    <row r="135" spans="2:19" x14ac:dyDescent="0.3">
      <c r="B135" s="107"/>
      <c r="C135" s="101" t="s">
        <v>28</v>
      </c>
      <c r="D135" s="47">
        <f t="shared" si="102"/>
        <v>631.47</v>
      </c>
      <c r="E135" s="36">
        <f t="shared" ref="E135:O135" si="106">SUM(E28*E$132)</f>
        <v>1159.7507373514247</v>
      </c>
      <c r="F135" s="37">
        <f t="shared" si="106"/>
        <v>495.65190824775829</v>
      </c>
      <c r="G135" s="37">
        <f t="shared" si="106"/>
        <v>378.16373231605758</v>
      </c>
      <c r="H135" s="37">
        <f t="shared" si="106"/>
        <v>0</v>
      </c>
      <c r="I135" s="37">
        <f t="shared" si="106"/>
        <v>0</v>
      </c>
      <c r="J135" s="37">
        <f t="shared" si="106"/>
        <v>1.2602080323003664</v>
      </c>
      <c r="K135" s="37">
        <f t="shared" si="106"/>
        <v>0</v>
      </c>
      <c r="L135" s="37">
        <f t="shared" si="106"/>
        <v>0</v>
      </c>
      <c r="M135" s="37">
        <f t="shared" si="106"/>
        <v>0</v>
      </c>
      <c r="N135" s="37">
        <f t="shared" si="106"/>
        <v>0</v>
      </c>
      <c r="O135" s="37">
        <f t="shared" si="106"/>
        <v>0</v>
      </c>
      <c r="P135" s="38">
        <f t="shared" si="104"/>
        <v>0</v>
      </c>
      <c r="Q135" s="12">
        <f t="shared" si="105"/>
        <v>2666.2965859475412</v>
      </c>
      <c r="R135" s="92"/>
      <c r="S135" s="92"/>
    </row>
    <row r="136" spans="2:19" x14ac:dyDescent="0.3">
      <c r="B136" s="107"/>
      <c r="C136" s="101" t="s">
        <v>29</v>
      </c>
      <c r="D136" s="47">
        <f t="shared" si="102"/>
        <v>795.4</v>
      </c>
      <c r="E136" s="36">
        <f t="shared" ref="E136:O136" si="107">SUM(E29*E$132)</f>
        <v>62.374925709876081</v>
      </c>
      <c r="F136" s="37">
        <f t="shared" si="107"/>
        <v>61.839368514843187</v>
      </c>
      <c r="G136" s="37">
        <f t="shared" si="107"/>
        <v>1582.3411207229631</v>
      </c>
      <c r="H136" s="37">
        <f t="shared" si="107"/>
        <v>402.68100710679556</v>
      </c>
      <c r="I136" s="37">
        <f t="shared" si="107"/>
        <v>0.84822830387467274</v>
      </c>
      <c r="J136" s="37">
        <f t="shared" si="107"/>
        <v>0</v>
      </c>
      <c r="K136" s="37">
        <f t="shared" si="107"/>
        <v>0</v>
      </c>
      <c r="L136" s="37">
        <f t="shared" si="107"/>
        <v>0</v>
      </c>
      <c r="M136" s="37">
        <f t="shared" si="107"/>
        <v>0</v>
      </c>
      <c r="N136" s="37">
        <f t="shared" si="107"/>
        <v>0</v>
      </c>
      <c r="O136" s="37">
        <f t="shared" si="107"/>
        <v>0</v>
      </c>
      <c r="P136" s="38">
        <f t="shared" si="104"/>
        <v>0</v>
      </c>
      <c r="Q136" s="12">
        <f t="shared" si="105"/>
        <v>2905.4846503583526</v>
      </c>
      <c r="R136" s="92"/>
      <c r="S136" s="92"/>
    </row>
    <row r="137" spans="2:19" x14ac:dyDescent="0.3">
      <c r="B137" s="107"/>
      <c r="C137" s="101" t="s">
        <v>30</v>
      </c>
      <c r="D137" s="47">
        <f t="shared" si="102"/>
        <v>622.74</v>
      </c>
      <c r="E137" s="36">
        <f t="shared" ref="E137:O137" si="108">SUM(E30*E$132)</f>
        <v>3.1716063920275976</v>
      </c>
      <c r="F137" s="37">
        <f t="shared" si="108"/>
        <v>0</v>
      </c>
      <c r="G137" s="37">
        <f t="shared" si="108"/>
        <v>130.08089072296818</v>
      </c>
      <c r="H137" s="37">
        <f t="shared" si="108"/>
        <v>1870.2295663404504</v>
      </c>
      <c r="I137" s="37">
        <f t="shared" si="108"/>
        <v>1071.3123477937118</v>
      </c>
      <c r="J137" s="37">
        <f t="shared" si="108"/>
        <v>7.5612481938021991</v>
      </c>
      <c r="K137" s="37">
        <f t="shared" si="108"/>
        <v>0</v>
      </c>
      <c r="L137" s="37">
        <f t="shared" si="108"/>
        <v>0</v>
      </c>
      <c r="M137" s="37">
        <f t="shared" si="108"/>
        <v>0</v>
      </c>
      <c r="N137" s="37">
        <f t="shared" si="108"/>
        <v>0</v>
      </c>
      <c r="O137" s="37">
        <f t="shared" si="108"/>
        <v>0</v>
      </c>
      <c r="P137" s="38">
        <f t="shared" si="104"/>
        <v>0</v>
      </c>
      <c r="Q137" s="12">
        <f t="shared" si="105"/>
        <v>3705.0956594429599</v>
      </c>
      <c r="R137" s="92"/>
      <c r="S137" s="92"/>
    </row>
    <row r="138" spans="2:19" x14ac:dyDescent="0.3">
      <c r="B138" s="107"/>
      <c r="C138" s="101" t="s">
        <v>18</v>
      </c>
      <c r="D138" s="47">
        <f t="shared" si="102"/>
        <v>2494.84</v>
      </c>
      <c r="E138" s="36">
        <f t="shared" ref="E138:O138" si="109">SUM(E31*E$132)</f>
        <v>0</v>
      </c>
      <c r="F138" s="37">
        <f t="shared" si="109"/>
        <v>0</v>
      </c>
      <c r="G138" s="37">
        <f t="shared" si="109"/>
        <v>0.9291492194497728</v>
      </c>
      <c r="H138" s="37">
        <f t="shared" si="109"/>
        <v>0</v>
      </c>
      <c r="I138" s="37">
        <f t="shared" si="109"/>
        <v>13.571652861994764</v>
      </c>
      <c r="J138" s="37">
        <f t="shared" si="109"/>
        <v>677.99192137759712</v>
      </c>
      <c r="K138" s="37">
        <f t="shared" si="109"/>
        <v>3.4006891920211402</v>
      </c>
      <c r="L138" s="37">
        <f t="shared" si="109"/>
        <v>0</v>
      </c>
      <c r="M138" s="37">
        <f t="shared" si="109"/>
        <v>0</v>
      </c>
      <c r="N138" s="37">
        <f t="shared" si="109"/>
        <v>0</v>
      </c>
      <c r="O138" s="37">
        <f t="shared" si="109"/>
        <v>0</v>
      </c>
      <c r="P138" s="38">
        <f t="shared" si="104"/>
        <v>0</v>
      </c>
      <c r="Q138" s="12">
        <f t="shared" si="105"/>
        <v>3190.7334126510627</v>
      </c>
      <c r="R138" s="92"/>
      <c r="S138" s="92"/>
    </row>
    <row r="139" spans="2:19" x14ac:dyDescent="0.3">
      <c r="B139" s="107"/>
      <c r="C139" s="101" t="s">
        <v>19</v>
      </c>
      <c r="D139" s="47">
        <f t="shared" si="102"/>
        <v>1420.08</v>
      </c>
      <c r="E139" s="36">
        <f t="shared" ref="E139:O139" si="110">SUM(E32*E$132)</f>
        <v>0</v>
      </c>
      <c r="F139" s="37">
        <f t="shared" si="110"/>
        <v>0</v>
      </c>
      <c r="G139" s="37">
        <f t="shared" si="110"/>
        <v>0</v>
      </c>
      <c r="H139" s="37">
        <f t="shared" si="110"/>
        <v>7.1587734596763664</v>
      </c>
      <c r="I139" s="37">
        <f t="shared" si="110"/>
        <v>176.43148720593194</v>
      </c>
      <c r="J139" s="37">
        <f t="shared" si="110"/>
        <v>6.3010401615018319</v>
      </c>
      <c r="K139" s="37">
        <f t="shared" si="110"/>
        <v>1556.6654776476769</v>
      </c>
      <c r="L139" s="37">
        <f t="shared" si="110"/>
        <v>0</v>
      </c>
      <c r="M139" s="37">
        <f t="shared" si="110"/>
        <v>0</v>
      </c>
      <c r="N139" s="37">
        <f t="shared" si="110"/>
        <v>0</v>
      </c>
      <c r="O139" s="37">
        <f t="shared" si="110"/>
        <v>2.7202806338386583</v>
      </c>
      <c r="P139" s="38">
        <f t="shared" si="104"/>
        <v>1.2728071041474165</v>
      </c>
      <c r="Q139" s="12">
        <f t="shared" si="105"/>
        <v>3170.6298662127733</v>
      </c>
      <c r="R139" s="92"/>
      <c r="S139" s="92"/>
    </row>
    <row r="140" spans="2:19" x14ac:dyDescent="0.3">
      <c r="B140" s="107"/>
      <c r="C140" s="101" t="s">
        <v>31</v>
      </c>
      <c r="D140" s="47">
        <f t="shared" si="102"/>
        <v>70.81</v>
      </c>
      <c r="E140" s="36">
        <f t="shared" ref="E140:O140" si="111">SUM(E33*E$132)</f>
        <v>0</v>
      </c>
      <c r="F140" s="37">
        <f t="shared" si="111"/>
        <v>0</v>
      </c>
      <c r="G140" s="37">
        <f t="shared" si="111"/>
        <v>0</v>
      </c>
      <c r="H140" s="37">
        <f t="shared" si="111"/>
        <v>0.89484668245954579</v>
      </c>
      <c r="I140" s="37">
        <f t="shared" si="111"/>
        <v>1.6964566077493455</v>
      </c>
      <c r="J140" s="37">
        <f t="shared" si="111"/>
        <v>0</v>
      </c>
      <c r="K140" s="37">
        <f t="shared" si="111"/>
        <v>0</v>
      </c>
      <c r="L140" s="37">
        <f t="shared" si="111"/>
        <v>3.0956769594322004</v>
      </c>
      <c r="M140" s="37">
        <f t="shared" si="111"/>
        <v>0</v>
      </c>
      <c r="N140" s="37">
        <f t="shared" si="111"/>
        <v>0</v>
      </c>
      <c r="O140" s="37">
        <f t="shared" si="111"/>
        <v>0</v>
      </c>
      <c r="P140" s="38">
        <f t="shared" si="104"/>
        <v>0</v>
      </c>
      <c r="Q140" s="12">
        <f t="shared" si="105"/>
        <v>76.496980249641084</v>
      </c>
      <c r="R140" s="92"/>
      <c r="S140" s="92"/>
    </row>
    <row r="141" spans="2:19" x14ac:dyDescent="0.3">
      <c r="B141" s="107"/>
      <c r="C141" s="101" t="s">
        <v>32</v>
      </c>
      <c r="D141" s="47">
        <f t="shared" si="102"/>
        <v>0</v>
      </c>
      <c r="E141" s="36">
        <f t="shared" ref="E141:O141" si="112">SUM(E34*E$132)</f>
        <v>0</v>
      </c>
      <c r="F141" s="37">
        <f t="shared" si="112"/>
        <v>0</v>
      </c>
      <c r="G141" s="37">
        <f t="shared" si="112"/>
        <v>0</v>
      </c>
      <c r="H141" s="37">
        <f t="shared" si="112"/>
        <v>0</v>
      </c>
      <c r="I141" s="37">
        <f t="shared" si="112"/>
        <v>0.84822830387467274</v>
      </c>
      <c r="J141" s="37">
        <f t="shared" si="112"/>
        <v>0</v>
      </c>
      <c r="K141" s="37">
        <f t="shared" si="112"/>
        <v>0</v>
      </c>
      <c r="L141" s="37">
        <f t="shared" si="112"/>
        <v>45.550675260216657</v>
      </c>
      <c r="M141" s="37">
        <f t="shared" si="112"/>
        <v>0.73693802584899426</v>
      </c>
      <c r="N141" s="37">
        <f t="shared" si="112"/>
        <v>0</v>
      </c>
      <c r="O141" s="37">
        <f t="shared" si="112"/>
        <v>0</v>
      </c>
      <c r="P141" s="38">
        <f t="shared" si="104"/>
        <v>0</v>
      </c>
      <c r="Q141" s="12">
        <f t="shared" si="105"/>
        <v>47.13584158994032</v>
      </c>
      <c r="R141" s="92"/>
      <c r="S141" s="92"/>
    </row>
    <row r="142" spans="2:19" x14ac:dyDescent="0.3">
      <c r="B142" s="107"/>
      <c r="C142" s="101" t="s">
        <v>33</v>
      </c>
      <c r="D142" s="47">
        <f t="shared" si="102"/>
        <v>0.97</v>
      </c>
      <c r="E142" s="36">
        <f t="shared" ref="E142:O142" si="113">SUM(E35*E$132)</f>
        <v>0</v>
      </c>
      <c r="F142" s="37">
        <f t="shared" si="113"/>
        <v>0</v>
      </c>
      <c r="G142" s="37">
        <f t="shared" si="113"/>
        <v>0</v>
      </c>
      <c r="H142" s="37">
        <f t="shared" si="113"/>
        <v>0</v>
      </c>
      <c r="I142" s="37">
        <f t="shared" si="113"/>
        <v>0</v>
      </c>
      <c r="J142" s="37">
        <f t="shared" si="113"/>
        <v>0</v>
      </c>
      <c r="K142" s="37">
        <f t="shared" si="113"/>
        <v>0</v>
      </c>
      <c r="L142" s="37">
        <f t="shared" si="113"/>
        <v>20.785259584759057</v>
      </c>
      <c r="M142" s="37">
        <f t="shared" si="113"/>
        <v>32.425273137355745</v>
      </c>
      <c r="N142" s="37">
        <f t="shared" si="113"/>
        <v>2.1140832953450106</v>
      </c>
      <c r="O142" s="37">
        <f t="shared" si="113"/>
        <v>0</v>
      </c>
      <c r="P142" s="38">
        <f t="shared" si="104"/>
        <v>0</v>
      </c>
      <c r="Q142" s="12">
        <f t="shared" si="105"/>
        <v>56.294616017459816</v>
      </c>
      <c r="R142" s="92"/>
      <c r="S142" s="92"/>
    </row>
    <row r="143" spans="2:19" x14ac:dyDescent="0.3">
      <c r="B143" s="107"/>
      <c r="C143" s="101" t="s">
        <v>34</v>
      </c>
      <c r="D143" s="47">
        <f t="shared" si="102"/>
        <v>258.99</v>
      </c>
      <c r="E143" s="36">
        <f t="shared" ref="E143:O143" si="114">SUM(E36*E$132)</f>
        <v>0</v>
      </c>
      <c r="F143" s="37">
        <f t="shared" si="114"/>
        <v>0</v>
      </c>
      <c r="G143" s="37">
        <f t="shared" si="114"/>
        <v>0</v>
      </c>
      <c r="H143" s="37">
        <f t="shared" si="114"/>
        <v>0</v>
      </c>
      <c r="I143" s="37">
        <f t="shared" si="114"/>
        <v>7.6340547348720555</v>
      </c>
      <c r="J143" s="37">
        <f t="shared" si="114"/>
        <v>0</v>
      </c>
      <c r="K143" s="37">
        <f t="shared" si="114"/>
        <v>26.355341238163835</v>
      </c>
      <c r="L143" s="37">
        <f t="shared" si="114"/>
        <v>0</v>
      </c>
      <c r="M143" s="37">
        <f t="shared" si="114"/>
        <v>0</v>
      </c>
      <c r="N143" s="37">
        <f t="shared" si="114"/>
        <v>0</v>
      </c>
      <c r="O143" s="37">
        <f t="shared" si="114"/>
        <v>508.69247852782917</v>
      </c>
      <c r="P143" s="38">
        <f t="shared" si="104"/>
        <v>3.8184213124422492</v>
      </c>
      <c r="Q143" s="12">
        <f t="shared" si="105"/>
        <v>805.49029581330728</v>
      </c>
      <c r="R143" s="92"/>
      <c r="S143" s="92"/>
    </row>
    <row r="144" spans="2:19" x14ac:dyDescent="0.3">
      <c r="B144" s="107"/>
      <c r="C144" s="101" t="s">
        <v>35</v>
      </c>
      <c r="D144" s="47">
        <f t="shared" si="102"/>
        <v>10.67</v>
      </c>
      <c r="E144" s="36">
        <f t="shared" ref="E144:O144" si="115">SUM(E37*E$132)</f>
        <v>0</v>
      </c>
      <c r="F144" s="37">
        <f t="shared" si="115"/>
        <v>0</v>
      </c>
      <c r="G144" s="37">
        <f t="shared" si="115"/>
        <v>0</v>
      </c>
      <c r="H144" s="37">
        <f t="shared" si="115"/>
        <v>0</v>
      </c>
      <c r="I144" s="37">
        <f t="shared" si="115"/>
        <v>0</v>
      </c>
      <c r="J144" s="37">
        <f t="shared" si="115"/>
        <v>0</v>
      </c>
      <c r="K144" s="37">
        <f t="shared" si="115"/>
        <v>0.85017229800528504</v>
      </c>
      <c r="L144" s="37">
        <f t="shared" si="115"/>
        <v>0</v>
      </c>
      <c r="M144" s="37">
        <f t="shared" si="115"/>
        <v>0</v>
      </c>
      <c r="N144" s="37">
        <f t="shared" si="115"/>
        <v>0</v>
      </c>
      <c r="O144" s="37">
        <f t="shared" si="115"/>
        <v>121.50586831146006</v>
      </c>
      <c r="P144" s="38">
        <f t="shared" si="104"/>
        <v>184.5570301013754</v>
      </c>
      <c r="Q144" s="12">
        <f t="shared" si="105"/>
        <v>317.58307071084073</v>
      </c>
      <c r="R144" s="92"/>
      <c r="S144" s="92"/>
    </row>
    <row r="145" spans="1:21" x14ac:dyDescent="0.3">
      <c r="B145" s="92"/>
      <c r="C145" s="12" t="s">
        <v>36</v>
      </c>
      <c r="D145" s="47">
        <f t="shared" si="102"/>
        <v>0</v>
      </c>
      <c r="E145" s="36">
        <f t="shared" ref="E145:O145" si="116">SUM(E38*E$132)</f>
        <v>0</v>
      </c>
      <c r="F145" s="37">
        <f t="shared" si="116"/>
        <v>0</v>
      </c>
      <c r="G145" s="37">
        <f t="shared" si="116"/>
        <v>0.9291492194497728</v>
      </c>
      <c r="H145" s="37">
        <f t="shared" si="116"/>
        <v>177.17964312699007</v>
      </c>
      <c r="I145" s="37">
        <f t="shared" si="116"/>
        <v>1985.7024593706089</v>
      </c>
      <c r="J145" s="37">
        <f t="shared" si="116"/>
        <v>0</v>
      </c>
      <c r="K145" s="37">
        <f t="shared" si="116"/>
        <v>1054.2136495265534</v>
      </c>
      <c r="L145" s="37">
        <f t="shared" si="116"/>
        <v>0</v>
      </c>
      <c r="M145" s="37">
        <f t="shared" si="116"/>
        <v>12.527946439432903</v>
      </c>
      <c r="N145" s="37">
        <f t="shared" si="116"/>
        <v>54.261471247188602</v>
      </c>
      <c r="O145" s="37">
        <f t="shared" si="116"/>
        <v>67.100255634686903</v>
      </c>
      <c r="P145" s="38">
        <f t="shared" si="104"/>
        <v>105.64298964423556</v>
      </c>
      <c r="Q145" s="92"/>
      <c r="R145" s="66">
        <f>SUM(E145:P145)</f>
        <v>3457.5575642091467</v>
      </c>
    </row>
    <row r="146" spans="1:21" x14ac:dyDescent="0.3">
      <c r="B146" s="92"/>
      <c r="C146" s="12" t="s">
        <v>37</v>
      </c>
      <c r="D146" s="47">
        <f t="shared" si="102"/>
        <v>0</v>
      </c>
      <c r="E146" s="36">
        <f t="shared" ref="E146:O146" si="117">SUM(E39*E$132)</f>
        <v>752.7279170412163</v>
      </c>
      <c r="F146" s="37">
        <f t="shared" si="117"/>
        <v>549.99559573049919</v>
      </c>
      <c r="G146" s="37">
        <f t="shared" si="117"/>
        <v>573.28506840050989</v>
      </c>
      <c r="H146" s="37">
        <f t="shared" si="117"/>
        <v>445.63364786485374</v>
      </c>
      <c r="I146" s="37">
        <f t="shared" si="117"/>
        <v>451.25745766132599</v>
      </c>
      <c r="J146" s="37">
        <f t="shared" si="117"/>
        <v>2055.3993006818973</v>
      </c>
      <c r="K146" s="37">
        <f t="shared" si="117"/>
        <v>544.11027072338265</v>
      </c>
      <c r="L146" s="37">
        <f t="shared" si="117"/>
        <v>7.0758330501307398</v>
      </c>
      <c r="M146" s="37">
        <f t="shared" si="117"/>
        <v>1.4738760516979885</v>
      </c>
      <c r="N146" s="37">
        <f t="shared" si="117"/>
        <v>0</v>
      </c>
      <c r="O146" s="37">
        <f t="shared" si="117"/>
        <v>110.6247457761054</v>
      </c>
      <c r="P146" s="38">
        <f t="shared" si="104"/>
        <v>24.18333497880089</v>
      </c>
      <c r="Q146" s="92"/>
      <c r="R146" s="66">
        <f>SUM(E146:P146)</f>
        <v>5515.7670479604194</v>
      </c>
    </row>
    <row r="147" spans="1:21" x14ac:dyDescent="0.3">
      <c r="B147" s="92"/>
      <c r="C147" s="18" t="s">
        <v>25</v>
      </c>
      <c r="D147" s="47">
        <f t="shared" si="102"/>
        <v>8949.2199999999993</v>
      </c>
      <c r="E147" s="12" t="s">
        <v>11</v>
      </c>
      <c r="F147" s="12" t="s">
        <v>11</v>
      </c>
      <c r="G147" s="12" t="s">
        <v>11</v>
      </c>
      <c r="H147" s="12" t="s">
        <v>11</v>
      </c>
      <c r="I147" s="12" t="s">
        <v>11</v>
      </c>
      <c r="J147" s="12" t="s">
        <v>11</v>
      </c>
      <c r="K147" s="12" t="s">
        <v>11</v>
      </c>
      <c r="L147" s="12" t="s">
        <v>11</v>
      </c>
      <c r="M147" s="12" t="s">
        <v>11</v>
      </c>
      <c r="N147" s="12" t="s">
        <v>11</v>
      </c>
      <c r="O147" s="12" t="s">
        <v>39</v>
      </c>
      <c r="P147" s="92"/>
      <c r="Q147" s="12">
        <f>SUM(Q133:Q144)</f>
        <v>20688.022047286489</v>
      </c>
      <c r="R147" s="92"/>
    </row>
    <row r="148" spans="1:21" x14ac:dyDescent="0.3"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12" t="s">
        <v>40</v>
      </c>
      <c r="Q148" s="92"/>
      <c r="R148" s="12">
        <f>SUM(R145:R146)</f>
        <v>8973.3246121695665</v>
      </c>
    </row>
    <row r="149" spans="1:21" x14ac:dyDescent="0.3">
      <c r="A149" s="108"/>
      <c r="B149" s="106"/>
      <c r="C149" s="106"/>
      <c r="D149" s="110" t="s">
        <v>41</v>
      </c>
      <c r="E149" s="111">
        <f t="shared" ref="E149:P149" si="118">SUM(E133:E145)/E132</f>
        <v>0.70505385252692632</v>
      </c>
      <c r="F149" s="111">
        <f t="shared" si="118"/>
        <v>0.53960784313725485</v>
      </c>
      <c r="G149" s="111">
        <f t="shared" si="118"/>
        <v>0.78494248867201122</v>
      </c>
      <c r="H149" s="111">
        <f t="shared" si="118"/>
        <v>0.84653312788905999</v>
      </c>
      <c r="I149" s="111">
        <f t="shared" si="118"/>
        <v>0.87834438600503095</v>
      </c>
      <c r="J149" s="111">
        <f t="shared" si="118"/>
        <v>0.35584518167456552</v>
      </c>
      <c r="K149" s="111">
        <f t="shared" si="118"/>
        <v>0.82919669068588209</v>
      </c>
      <c r="L149" s="111">
        <f t="shared" si="118"/>
        <v>0.90751445086705207</v>
      </c>
      <c r="M149" s="111">
        <f t="shared" si="118"/>
        <v>0.96874999999999989</v>
      </c>
      <c r="N149" s="111">
        <f t="shared" si="118"/>
        <v>1</v>
      </c>
      <c r="O149" s="111">
        <f t="shared" si="118"/>
        <v>0.86353467561521269</v>
      </c>
      <c r="P149" s="111">
        <f t="shared" si="118"/>
        <v>0.92639034256999442</v>
      </c>
      <c r="Q149" s="111">
        <f>SUM(E133:P145)/Q132</f>
        <v>0.73371933627932151</v>
      </c>
      <c r="R149" s="106"/>
      <c r="S149" s="108"/>
    </row>
    <row r="152" spans="1:21" x14ac:dyDescent="0.3"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54"/>
      <c r="R152" s="92"/>
    </row>
    <row r="153" spans="1:21" x14ac:dyDescent="0.3"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54"/>
      <c r="R153" s="92"/>
    </row>
    <row r="154" spans="1:21" x14ac:dyDescent="0.3"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54"/>
      <c r="R154" s="92"/>
    </row>
    <row r="155" spans="1:21" x14ac:dyDescent="0.3">
      <c r="B155" s="22" t="s">
        <v>8</v>
      </c>
      <c r="C155" s="46">
        <f>SUM(K3)</f>
        <v>2022</v>
      </c>
      <c r="D155" s="56">
        <f>SUM(Q5)</f>
        <v>21917</v>
      </c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</row>
    <row r="156" spans="1:21" x14ac:dyDescent="0.3">
      <c r="B156" s="22" t="s">
        <v>8</v>
      </c>
      <c r="C156" s="46">
        <f>SUM(C155+1)</f>
        <v>2023</v>
      </c>
      <c r="D156" s="56">
        <f>SUM(Q20)</f>
        <v>21736</v>
      </c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</row>
    <row r="157" spans="1:21" x14ac:dyDescent="0.3">
      <c r="B157" s="22" t="s">
        <v>8</v>
      </c>
      <c r="C157" s="46">
        <f t="shared" ref="C157:C161" si="119">SUM(C156+1)</f>
        <v>2024</v>
      </c>
      <c r="D157" s="118">
        <f>SUM(Q59)</f>
        <v>21206.106988352807</v>
      </c>
      <c r="E157" s="119">
        <f>SUM(Q61)</f>
        <v>0.74152804991420507</v>
      </c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</row>
    <row r="158" spans="1:21" x14ac:dyDescent="0.3">
      <c r="B158" s="22" t="s">
        <v>8</v>
      </c>
      <c r="C158" s="46">
        <f t="shared" si="119"/>
        <v>2025</v>
      </c>
      <c r="D158" s="120">
        <f>SUM(Q81)</f>
        <v>20893.774915398179</v>
      </c>
      <c r="E158" s="121">
        <f>SUM(Q83)</f>
        <v>0.73732570360034544</v>
      </c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U158" s="93" t="s">
        <v>11</v>
      </c>
    </row>
    <row r="159" spans="1:21" x14ac:dyDescent="0.3">
      <c r="B159" s="22" t="s">
        <v>8</v>
      </c>
      <c r="C159" s="46">
        <f t="shared" si="119"/>
        <v>2026</v>
      </c>
      <c r="D159" s="120">
        <f>SUM(Q103)</f>
        <v>20764.81134861258</v>
      </c>
      <c r="E159" s="121">
        <f>SUM(Q105)</f>
        <v>0.73489460625422931</v>
      </c>
      <c r="F159" s="92"/>
      <c r="G159" s="92"/>
      <c r="H159" s="12" t="s">
        <v>11</v>
      </c>
      <c r="I159" s="92"/>
      <c r="J159" s="92"/>
      <c r="K159" s="92"/>
      <c r="L159" s="92"/>
      <c r="M159" s="92"/>
      <c r="N159" s="92"/>
      <c r="O159" s="92"/>
      <c r="P159" s="92"/>
      <c r="Q159" s="92"/>
      <c r="R159" s="92"/>
    </row>
    <row r="160" spans="1:21" x14ac:dyDescent="0.3">
      <c r="B160" s="22" t="s">
        <v>8</v>
      </c>
      <c r="C160" s="46">
        <f t="shared" si="119"/>
        <v>2027</v>
      </c>
      <c r="D160" s="122">
        <f>SUM(Q125)</f>
        <v>20711.406746558056</v>
      </c>
      <c r="E160" s="123">
        <f>SUM(Q127)</f>
        <v>0.73401306797328969</v>
      </c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</row>
    <row r="161" spans="2:18" x14ac:dyDescent="0.3">
      <c r="B161" s="22" t="s">
        <v>8</v>
      </c>
      <c r="C161" s="46">
        <f t="shared" si="119"/>
        <v>2028</v>
      </c>
      <c r="D161" s="56">
        <f>Q147</f>
        <v>20688.022047286489</v>
      </c>
      <c r="E161" s="141">
        <f>Q149</f>
        <v>0.73371933627932151</v>
      </c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</row>
    <row r="163" spans="2:18" x14ac:dyDescent="0.3">
      <c r="B163" s="77" t="s">
        <v>48</v>
      </c>
    </row>
    <row r="164" spans="2:18" ht="5.25" customHeight="1" x14ac:dyDescent="0.3">
      <c r="B164" s="46"/>
    </row>
    <row r="165" spans="2:18" x14ac:dyDescent="0.3">
      <c r="B165" s="22" t="s">
        <v>8</v>
      </c>
      <c r="C165" s="46">
        <f>SUM(C157)</f>
        <v>2024</v>
      </c>
      <c r="D165" s="118">
        <v>21660.747883467553</v>
      </c>
      <c r="E165" s="119">
        <v>0.78107336635463898</v>
      </c>
    </row>
    <row r="166" spans="2:18" x14ac:dyDescent="0.3">
      <c r="B166" s="22" t="s">
        <v>8</v>
      </c>
      <c r="C166" s="46">
        <f t="shared" ref="C166:C168" si="120">SUM(C165+1)</f>
        <v>2025</v>
      </c>
      <c r="D166" s="120">
        <v>21808.424625043721</v>
      </c>
      <c r="E166" s="121">
        <v>0.78022217974919528</v>
      </c>
    </row>
    <row r="167" spans="2:18" x14ac:dyDescent="0.3">
      <c r="B167" s="22" t="s">
        <v>8</v>
      </c>
      <c r="C167" s="46">
        <f t="shared" si="120"/>
        <v>2026</v>
      </c>
      <c r="D167" s="120">
        <v>21920.443181061521</v>
      </c>
      <c r="E167" s="121">
        <v>0.78025843066847078</v>
      </c>
    </row>
    <row r="168" spans="2:18" x14ac:dyDescent="0.3">
      <c r="B168" s="22" t="s">
        <v>8</v>
      </c>
      <c r="C168" s="46">
        <f t="shared" si="120"/>
        <v>2027</v>
      </c>
      <c r="D168" s="122">
        <v>21985.537772647865</v>
      </c>
      <c r="E168" s="123">
        <v>0.78053144256755991</v>
      </c>
    </row>
    <row r="170" spans="2:18" x14ac:dyDescent="0.3">
      <c r="B170" s="94" t="s">
        <v>75</v>
      </c>
    </row>
    <row r="172" spans="2:18" x14ac:dyDescent="0.3">
      <c r="B172" s="93" t="s">
        <v>62</v>
      </c>
    </row>
    <row r="173" spans="2:18" x14ac:dyDescent="0.3">
      <c r="B173" s="22" t="s">
        <v>8</v>
      </c>
      <c r="C173" s="46">
        <f>SUM(K3)</f>
        <v>2022</v>
      </c>
      <c r="D173" s="56">
        <f>SUM(K5+O5 + P5)</f>
        <v>4892</v>
      </c>
      <c r="E173" s="92"/>
    </row>
    <row r="174" spans="2:18" x14ac:dyDescent="0.3">
      <c r="B174" s="22" t="s">
        <v>8</v>
      </c>
      <c r="C174" s="46">
        <f>SUM(C173+1)</f>
        <v>2023</v>
      </c>
      <c r="D174" s="56">
        <f>SUM(Q12+Q16+Q17)</f>
        <v>4682</v>
      </c>
      <c r="E174" s="92"/>
    </row>
    <row r="175" spans="2:18" x14ac:dyDescent="0.3">
      <c r="B175" s="22" t="s">
        <v>8</v>
      </c>
      <c r="C175" s="46">
        <f t="shared" ref="C175:C178" si="121">SUM(C174+1)</f>
        <v>2024</v>
      </c>
      <c r="D175" s="142">
        <f>SUM(Q51+Q55+Q56)</f>
        <v>4512.122960647047</v>
      </c>
      <c r="E175" s="141" t="s">
        <v>11</v>
      </c>
    </row>
    <row r="176" spans="2:18" x14ac:dyDescent="0.3">
      <c r="B176" s="22" t="s">
        <v>8</v>
      </c>
      <c r="C176" s="46">
        <f t="shared" si="121"/>
        <v>2025</v>
      </c>
      <c r="D176" s="143">
        <f>SUM(Q73+Q77+Q78)</f>
        <v>4413.0639918023207</v>
      </c>
      <c r="E176" s="141" t="s">
        <v>11</v>
      </c>
    </row>
    <row r="177" spans="2:5" x14ac:dyDescent="0.3">
      <c r="B177" s="22" t="s">
        <v>8</v>
      </c>
      <c r="C177" s="46">
        <f t="shared" si="121"/>
        <v>2026</v>
      </c>
      <c r="D177" s="143">
        <f>SUM(Q95+Q99+Q100)</f>
        <v>4351.9610456001519</v>
      </c>
      <c r="E177" s="141" t="s">
        <v>11</v>
      </c>
    </row>
    <row r="178" spans="2:5" x14ac:dyDescent="0.3">
      <c r="B178" s="22" t="s">
        <v>8</v>
      </c>
      <c r="C178" s="46">
        <f t="shared" si="121"/>
        <v>2027</v>
      </c>
      <c r="D178" s="144">
        <f>SUM(Q117+Q121+Q122)</f>
        <v>4314.9938997527261</v>
      </c>
      <c r="E178" s="141" t="s">
        <v>11</v>
      </c>
    </row>
  </sheetData>
  <mergeCells count="2">
    <mergeCell ref="O20:P20"/>
    <mergeCell ref="P21:Q21"/>
  </mergeCells>
  <pageMargins left="0.7" right="0.7" top="0.75" bottom="0.75" header="0.3" footer="0.3"/>
  <pageSetup orientation="landscape" horizontalDpi="1200" verticalDpi="1200" r:id="rId1"/>
  <rowBreaks count="6" manualBreakCount="6">
    <brk id="23" max="16383" man="1"/>
    <brk id="41" max="16383" man="1"/>
    <brk id="63" max="16383" man="1"/>
    <brk id="85" max="16383" man="1"/>
    <brk id="107" max="16383" man="1"/>
    <brk id="15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O43"/>
  <sheetViews>
    <sheetView workbookViewId="0">
      <selection activeCell="B3" sqref="B3:O19"/>
    </sheetView>
  </sheetViews>
  <sheetFormatPr defaultRowHeight="15" x14ac:dyDescent="0.25"/>
  <sheetData>
    <row r="2" spans="2:15" ht="15.75" thickBot="1" x14ac:dyDescent="0.3"/>
    <row r="3" spans="2:15" ht="30" x14ac:dyDescent="0.25">
      <c r="B3" s="182"/>
      <c r="C3" s="175" t="s">
        <v>76</v>
      </c>
      <c r="D3" s="175" t="s">
        <v>13</v>
      </c>
      <c r="E3" s="175" t="s">
        <v>14</v>
      </c>
      <c r="F3" s="175" t="s">
        <v>77</v>
      </c>
      <c r="G3" s="175" t="s">
        <v>16</v>
      </c>
      <c r="H3" s="175" t="s">
        <v>17</v>
      </c>
      <c r="I3" s="175" t="s">
        <v>78</v>
      </c>
      <c r="J3" s="175" t="s">
        <v>79</v>
      </c>
      <c r="K3" s="175" t="s">
        <v>20</v>
      </c>
      <c r="L3" s="175" t="s">
        <v>21</v>
      </c>
      <c r="M3" s="175" t="s">
        <v>22</v>
      </c>
      <c r="N3" s="175" t="s">
        <v>80</v>
      </c>
      <c r="O3" s="175" t="s">
        <v>81</v>
      </c>
    </row>
    <row r="4" spans="2:15" x14ac:dyDescent="0.25">
      <c r="B4" s="183"/>
      <c r="C4" s="177" t="s">
        <v>82</v>
      </c>
      <c r="D4" s="177" t="s">
        <v>82</v>
      </c>
      <c r="E4" s="177" t="s">
        <v>82</v>
      </c>
      <c r="F4" s="177" t="s">
        <v>82</v>
      </c>
      <c r="G4" s="177" t="s">
        <v>82</v>
      </c>
      <c r="H4" s="177" t="s">
        <v>82</v>
      </c>
      <c r="I4" s="177" t="s">
        <v>82</v>
      </c>
      <c r="J4" s="177" t="s">
        <v>82</v>
      </c>
      <c r="K4" s="177" t="s">
        <v>82</v>
      </c>
      <c r="L4" s="177" t="s">
        <v>82</v>
      </c>
      <c r="M4" s="177" t="s">
        <v>82</v>
      </c>
      <c r="N4" s="177" t="s">
        <v>82</v>
      </c>
      <c r="O4" s="177" t="s">
        <v>82</v>
      </c>
    </row>
    <row r="5" spans="2:15" ht="30" x14ac:dyDescent="0.25">
      <c r="B5" s="176" t="s">
        <v>13</v>
      </c>
      <c r="C5" s="172">
        <v>2175</v>
      </c>
      <c r="D5" s="172">
        <v>0</v>
      </c>
      <c r="E5" s="172">
        <v>0</v>
      </c>
      <c r="F5" s="172">
        <v>0</v>
      </c>
      <c r="G5" s="172">
        <v>0</v>
      </c>
      <c r="H5" s="172">
        <v>0</v>
      </c>
      <c r="I5" s="172">
        <v>351</v>
      </c>
      <c r="J5" s="172">
        <v>0</v>
      </c>
      <c r="K5" s="172">
        <v>0</v>
      </c>
      <c r="L5" s="172">
        <v>0</v>
      </c>
      <c r="M5" s="172">
        <v>0</v>
      </c>
      <c r="N5" s="172">
        <v>0</v>
      </c>
      <c r="O5" s="172">
        <v>0</v>
      </c>
    </row>
    <row r="6" spans="2:15" ht="30" x14ac:dyDescent="0.25">
      <c r="B6" s="176" t="s">
        <v>14</v>
      </c>
      <c r="C6" s="172">
        <v>550</v>
      </c>
      <c r="D6" s="172">
        <v>543</v>
      </c>
      <c r="E6" s="172">
        <v>93</v>
      </c>
      <c r="F6" s="172">
        <v>0</v>
      </c>
      <c r="G6" s="172">
        <v>0</v>
      </c>
      <c r="H6" s="172">
        <v>0</v>
      </c>
      <c r="I6" s="172">
        <v>0</v>
      </c>
      <c r="J6" s="172">
        <v>0</v>
      </c>
      <c r="K6" s="172">
        <v>0</v>
      </c>
      <c r="L6" s="172">
        <v>0</v>
      </c>
      <c r="M6" s="172">
        <v>0</v>
      </c>
      <c r="N6" s="172">
        <v>0</v>
      </c>
      <c r="O6" s="172">
        <v>0</v>
      </c>
    </row>
    <row r="7" spans="2:15" x14ac:dyDescent="0.25">
      <c r="B7" s="176" t="s">
        <v>77</v>
      </c>
      <c r="C7" s="172">
        <v>651</v>
      </c>
      <c r="D7" s="172">
        <v>1097</v>
      </c>
      <c r="E7" s="172">
        <v>529</v>
      </c>
      <c r="F7" s="172">
        <v>407</v>
      </c>
      <c r="G7" s="172">
        <v>0</v>
      </c>
      <c r="H7" s="172">
        <v>0</v>
      </c>
      <c r="I7" s="172">
        <v>1</v>
      </c>
      <c r="J7" s="172">
        <v>0</v>
      </c>
      <c r="K7" s="172">
        <v>0</v>
      </c>
      <c r="L7" s="172">
        <v>0</v>
      </c>
      <c r="M7" s="172">
        <v>0</v>
      </c>
      <c r="N7" s="172">
        <v>0</v>
      </c>
      <c r="O7" s="172">
        <v>0</v>
      </c>
    </row>
    <row r="8" spans="2:15" x14ac:dyDescent="0.25">
      <c r="B8" s="176" t="s">
        <v>16</v>
      </c>
      <c r="C8" s="172">
        <v>820</v>
      </c>
      <c r="D8" s="172">
        <v>59</v>
      </c>
      <c r="E8" s="172">
        <v>66</v>
      </c>
      <c r="F8" s="172">
        <v>1703</v>
      </c>
      <c r="G8" s="172">
        <v>450</v>
      </c>
      <c r="H8" s="172">
        <v>1</v>
      </c>
      <c r="I8" s="172">
        <v>0</v>
      </c>
      <c r="J8" s="172">
        <v>0</v>
      </c>
      <c r="K8" s="172">
        <v>0</v>
      </c>
      <c r="L8" s="172">
        <v>0</v>
      </c>
      <c r="M8" s="172">
        <v>0</v>
      </c>
      <c r="N8" s="172">
        <v>0</v>
      </c>
      <c r="O8" s="172">
        <v>0</v>
      </c>
    </row>
    <row r="9" spans="2:15" x14ac:dyDescent="0.25">
      <c r="B9" s="176" t="s">
        <v>17</v>
      </c>
      <c r="C9" s="172">
        <v>642</v>
      </c>
      <c r="D9" s="172">
        <v>3</v>
      </c>
      <c r="E9" s="172">
        <v>0</v>
      </c>
      <c r="F9" s="172">
        <v>140</v>
      </c>
      <c r="G9" s="172">
        <v>2090</v>
      </c>
      <c r="H9" s="172">
        <v>1263</v>
      </c>
      <c r="I9" s="172">
        <v>6</v>
      </c>
      <c r="J9" s="172">
        <v>0</v>
      </c>
      <c r="K9" s="172">
        <v>0</v>
      </c>
      <c r="L9" s="172">
        <v>0</v>
      </c>
      <c r="M9" s="172">
        <v>0</v>
      </c>
      <c r="N9" s="172">
        <v>0</v>
      </c>
      <c r="O9" s="172">
        <v>0</v>
      </c>
    </row>
    <row r="10" spans="2:15" ht="30" x14ac:dyDescent="0.25">
      <c r="B10" s="176" t="s">
        <v>78</v>
      </c>
      <c r="C10" s="172">
        <v>2572</v>
      </c>
      <c r="D10" s="172">
        <v>0</v>
      </c>
      <c r="E10" s="172">
        <v>0</v>
      </c>
      <c r="F10" s="172">
        <v>1</v>
      </c>
      <c r="G10" s="172">
        <v>0</v>
      </c>
      <c r="H10" s="172">
        <v>16</v>
      </c>
      <c r="I10" s="172">
        <v>538</v>
      </c>
      <c r="J10" s="172">
        <v>4</v>
      </c>
      <c r="K10" s="172">
        <v>0</v>
      </c>
      <c r="L10" s="172">
        <v>0</v>
      </c>
      <c r="M10" s="172">
        <v>0</v>
      </c>
      <c r="N10" s="172">
        <v>0</v>
      </c>
      <c r="O10" s="172">
        <v>0</v>
      </c>
    </row>
    <row r="11" spans="2:15" x14ac:dyDescent="0.25">
      <c r="B11" s="176" t="s">
        <v>79</v>
      </c>
      <c r="C11" s="172">
        <v>1464</v>
      </c>
      <c r="D11" s="172">
        <v>0</v>
      </c>
      <c r="E11" s="172">
        <v>0</v>
      </c>
      <c r="F11" s="172">
        <v>0</v>
      </c>
      <c r="G11" s="172">
        <v>8</v>
      </c>
      <c r="H11" s="172">
        <v>208</v>
      </c>
      <c r="I11" s="172">
        <v>5</v>
      </c>
      <c r="J11" s="172">
        <v>1831</v>
      </c>
      <c r="K11" s="172">
        <v>0</v>
      </c>
      <c r="L11" s="172">
        <v>0</v>
      </c>
      <c r="M11" s="172">
        <v>0</v>
      </c>
      <c r="N11" s="172">
        <v>3</v>
      </c>
      <c r="O11" s="172">
        <v>1</v>
      </c>
    </row>
    <row r="12" spans="2:15" x14ac:dyDescent="0.25">
      <c r="B12" s="176" t="s">
        <v>20</v>
      </c>
      <c r="C12" s="172">
        <v>73</v>
      </c>
      <c r="D12" s="172">
        <v>0</v>
      </c>
      <c r="E12" s="172">
        <v>0</v>
      </c>
      <c r="F12" s="172">
        <v>0</v>
      </c>
      <c r="G12" s="172">
        <v>1</v>
      </c>
      <c r="H12" s="172">
        <v>2</v>
      </c>
      <c r="I12" s="172">
        <v>0</v>
      </c>
      <c r="J12" s="172">
        <v>0</v>
      </c>
      <c r="K12" s="172">
        <v>7</v>
      </c>
      <c r="L12" s="172">
        <v>0</v>
      </c>
      <c r="M12" s="172">
        <v>0</v>
      </c>
      <c r="N12" s="172">
        <v>0</v>
      </c>
      <c r="O12" s="172">
        <v>0</v>
      </c>
    </row>
    <row r="13" spans="2:15" x14ac:dyDescent="0.25">
      <c r="B13" s="176" t="s">
        <v>21</v>
      </c>
      <c r="C13" s="172">
        <v>0</v>
      </c>
      <c r="D13" s="172">
        <v>0</v>
      </c>
      <c r="E13" s="172">
        <v>0</v>
      </c>
      <c r="F13" s="172">
        <v>0</v>
      </c>
      <c r="G13" s="172">
        <v>0</v>
      </c>
      <c r="H13" s="172">
        <v>1</v>
      </c>
      <c r="I13" s="172">
        <v>0</v>
      </c>
      <c r="J13" s="172">
        <v>0</v>
      </c>
      <c r="K13" s="172">
        <v>103</v>
      </c>
      <c r="L13" s="172">
        <v>1</v>
      </c>
      <c r="M13" s="172">
        <v>0</v>
      </c>
      <c r="N13" s="172">
        <v>0</v>
      </c>
      <c r="O13" s="172">
        <v>0</v>
      </c>
    </row>
    <row r="14" spans="2:15" x14ac:dyDescent="0.25">
      <c r="B14" s="176" t="s">
        <v>22</v>
      </c>
      <c r="C14" s="172">
        <v>1</v>
      </c>
      <c r="D14" s="172">
        <v>0</v>
      </c>
      <c r="E14" s="172">
        <v>0</v>
      </c>
      <c r="F14" s="172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47</v>
      </c>
      <c r="L14" s="172">
        <v>44</v>
      </c>
      <c r="M14" s="172">
        <v>3</v>
      </c>
      <c r="N14" s="172">
        <v>0</v>
      </c>
      <c r="O14" s="172">
        <v>0</v>
      </c>
    </row>
    <row r="15" spans="2:15" x14ac:dyDescent="0.25">
      <c r="B15" s="176" t="s">
        <v>80</v>
      </c>
      <c r="C15" s="172">
        <v>267</v>
      </c>
      <c r="D15" s="172">
        <v>0</v>
      </c>
      <c r="E15" s="172">
        <v>0</v>
      </c>
      <c r="F15" s="172">
        <v>0</v>
      </c>
      <c r="G15" s="172">
        <v>0</v>
      </c>
      <c r="H15" s="172">
        <v>9</v>
      </c>
      <c r="I15" s="172">
        <v>0</v>
      </c>
      <c r="J15" s="172">
        <v>31</v>
      </c>
      <c r="K15" s="172">
        <v>0</v>
      </c>
      <c r="L15" s="172">
        <v>0</v>
      </c>
      <c r="M15" s="172">
        <v>0</v>
      </c>
      <c r="N15" s="172">
        <v>561</v>
      </c>
      <c r="O15" s="172">
        <v>3</v>
      </c>
    </row>
    <row r="16" spans="2:15" x14ac:dyDescent="0.25">
      <c r="B16" s="176" t="s">
        <v>81</v>
      </c>
      <c r="C16" s="172">
        <v>11</v>
      </c>
      <c r="D16" s="172">
        <v>0</v>
      </c>
      <c r="E16" s="172">
        <v>0</v>
      </c>
      <c r="F16" s="172">
        <v>0</v>
      </c>
      <c r="G16" s="172">
        <v>0</v>
      </c>
      <c r="H16" s="172">
        <v>0</v>
      </c>
      <c r="I16" s="172">
        <v>0</v>
      </c>
      <c r="J16" s="172">
        <v>1</v>
      </c>
      <c r="K16" s="172">
        <v>0</v>
      </c>
      <c r="L16" s="172">
        <v>0</v>
      </c>
      <c r="M16" s="172">
        <v>0</v>
      </c>
      <c r="N16" s="172">
        <v>134</v>
      </c>
      <c r="O16" s="172">
        <v>145</v>
      </c>
    </row>
    <row r="17" spans="2:15" ht="30" x14ac:dyDescent="0.25">
      <c r="B17" s="176" t="s">
        <v>83</v>
      </c>
      <c r="C17" s="172">
        <v>0</v>
      </c>
      <c r="D17" s="172">
        <v>0</v>
      </c>
      <c r="E17" s="172">
        <v>0</v>
      </c>
      <c r="F17" s="172">
        <v>1</v>
      </c>
      <c r="G17" s="172">
        <v>198</v>
      </c>
      <c r="H17" s="172">
        <v>2341</v>
      </c>
      <c r="I17" s="172">
        <v>0</v>
      </c>
      <c r="J17" s="172">
        <v>1240</v>
      </c>
      <c r="K17" s="172">
        <v>0</v>
      </c>
      <c r="L17" s="172">
        <v>17</v>
      </c>
      <c r="M17" s="172">
        <v>77</v>
      </c>
      <c r="N17" s="172">
        <v>74</v>
      </c>
      <c r="O17" s="172">
        <v>83</v>
      </c>
    </row>
    <row r="18" spans="2:15" x14ac:dyDescent="0.25">
      <c r="B18" s="176" t="s">
        <v>84</v>
      </c>
      <c r="C18" s="172">
        <v>0</v>
      </c>
      <c r="D18" s="172">
        <v>712</v>
      </c>
      <c r="E18" s="172">
        <v>587</v>
      </c>
      <c r="F18" s="172">
        <v>617</v>
      </c>
      <c r="G18" s="172">
        <v>498</v>
      </c>
      <c r="H18" s="172">
        <v>532</v>
      </c>
      <c r="I18" s="172">
        <v>1631</v>
      </c>
      <c r="J18" s="172">
        <v>640</v>
      </c>
      <c r="K18" s="172">
        <v>16</v>
      </c>
      <c r="L18" s="172">
        <v>2</v>
      </c>
      <c r="M18" s="172">
        <v>0</v>
      </c>
      <c r="N18" s="172">
        <v>122</v>
      </c>
      <c r="O18" s="172">
        <v>19</v>
      </c>
    </row>
    <row r="19" spans="2:15" x14ac:dyDescent="0.25">
      <c r="B19" s="176" t="s">
        <v>25</v>
      </c>
      <c r="C19" s="172">
        <v>9226</v>
      </c>
      <c r="D19" s="172">
        <v>2414</v>
      </c>
      <c r="E19" s="172">
        <v>1275</v>
      </c>
      <c r="F19" s="172">
        <v>2869</v>
      </c>
      <c r="G19" s="172">
        <v>3245</v>
      </c>
      <c r="H19" s="172">
        <v>4373</v>
      </c>
      <c r="I19" s="172">
        <v>2532</v>
      </c>
      <c r="J19" s="172">
        <v>3747</v>
      </c>
      <c r="K19" s="172">
        <v>173</v>
      </c>
      <c r="L19" s="172">
        <v>64</v>
      </c>
      <c r="M19" s="172">
        <v>80</v>
      </c>
      <c r="N19" s="172">
        <v>894</v>
      </c>
      <c r="O19" s="172">
        <v>251</v>
      </c>
    </row>
    <row r="21" spans="2:15" ht="15.75" x14ac:dyDescent="0.25">
      <c r="B21" s="170"/>
    </row>
    <row r="23" spans="2:15" ht="15.75" x14ac:dyDescent="0.25">
      <c r="B23" s="173" t="s">
        <v>93</v>
      </c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</row>
    <row r="24" spans="2:15" ht="15.75" thickBot="1" x14ac:dyDescent="0.3"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</row>
    <row r="25" spans="2:15" ht="30" x14ac:dyDescent="0.25">
      <c r="B25" s="182"/>
      <c r="C25" s="175" t="s">
        <v>76</v>
      </c>
      <c r="D25" s="175" t="s">
        <v>13</v>
      </c>
      <c r="E25" s="175" t="s">
        <v>14</v>
      </c>
      <c r="F25" s="175" t="s">
        <v>77</v>
      </c>
      <c r="G25" s="175" t="s">
        <v>16</v>
      </c>
      <c r="H25" s="175" t="s">
        <v>17</v>
      </c>
      <c r="I25" s="175" t="s">
        <v>78</v>
      </c>
      <c r="J25" s="175" t="s">
        <v>79</v>
      </c>
      <c r="K25" s="175" t="s">
        <v>20</v>
      </c>
      <c r="L25" s="175" t="s">
        <v>21</v>
      </c>
      <c r="M25" s="175" t="s">
        <v>22</v>
      </c>
      <c r="N25" s="175" t="s">
        <v>80</v>
      </c>
      <c r="O25" s="175" t="s">
        <v>81</v>
      </c>
    </row>
    <row r="26" spans="2:15" x14ac:dyDescent="0.25">
      <c r="B26" s="183"/>
      <c r="C26" s="177" t="s">
        <v>82</v>
      </c>
      <c r="D26" s="177" t="s">
        <v>82</v>
      </c>
      <c r="E26" s="177" t="s">
        <v>82</v>
      </c>
      <c r="F26" s="177" t="s">
        <v>82</v>
      </c>
      <c r="G26" s="177" t="s">
        <v>82</v>
      </c>
      <c r="H26" s="177" t="s">
        <v>82</v>
      </c>
      <c r="I26" s="177" t="s">
        <v>82</v>
      </c>
      <c r="J26" s="177" t="s">
        <v>82</v>
      </c>
      <c r="K26" s="177" t="s">
        <v>82</v>
      </c>
      <c r="L26" s="177" t="s">
        <v>82</v>
      </c>
      <c r="M26" s="177" t="s">
        <v>82</v>
      </c>
      <c r="N26" s="177" t="s">
        <v>82</v>
      </c>
      <c r="O26" s="177" t="s">
        <v>82</v>
      </c>
    </row>
    <row r="27" spans="2:15" ht="30" x14ac:dyDescent="0.25">
      <c r="B27" s="176" t="s">
        <v>13</v>
      </c>
      <c r="C27" s="172">
        <v>2175</v>
      </c>
      <c r="D27" s="172">
        <v>0</v>
      </c>
      <c r="E27" s="172">
        <v>0</v>
      </c>
      <c r="F27" s="172">
        <v>0</v>
      </c>
      <c r="G27" s="172">
        <v>0</v>
      </c>
      <c r="H27" s="172">
        <v>0</v>
      </c>
      <c r="I27" s="172">
        <v>351</v>
      </c>
      <c r="J27" s="172">
        <v>0</v>
      </c>
      <c r="K27" s="172">
        <v>0</v>
      </c>
      <c r="L27" s="172">
        <v>0</v>
      </c>
      <c r="M27" s="172">
        <v>0</v>
      </c>
      <c r="N27" s="172">
        <v>0</v>
      </c>
      <c r="O27" s="172">
        <v>0</v>
      </c>
    </row>
    <row r="28" spans="2:15" ht="30" x14ac:dyDescent="0.25">
      <c r="B28" s="176" t="s">
        <v>14</v>
      </c>
      <c r="C28" s="172">
        <v>550</v>
      </c>
      <c r="D28" s="172">
        <v>543</v>
      </c>
      <c r="E28" s="172">
        <v>93</v>
      </c>
      <c r="F28" s="172">
        <v>0</v>
      </c>
      <c r="G28" s="172">
        <v>0</v>
      </c>
      <c r="H28" s="172">
        <v>0</v>
      </c>
      <c r="I28" s="172">
        <v>0</v>
      </c>
      <c r="J28" s="172">
        <v>0</v>
      </c>
      <c r="K28" s="172">
        <v>0</v>
      </c>
      <c r="L28" s="172">
        <v>0</v>
      </c>
      <c r="M28" s="172">
        <v>0</v>
      </c>
      <c r="N28" s="172">
        <v>0</v>
      </c>
      <c r="O28" s="172">
        <v>0</v>
      </c>
    </row>
    <row r="29" spans="2:15" x14ac:dyDescent="0.25">
      <c r="B29" s="176" t="s">
        <v>77</v>
      </c>
      <c r="C29" s="172">
        <v>651</v>
      </c>
      <c r="D29" s="172">
        <v>1097</v>
      </c>
      <c r="E29" s="172">
        <v>529</v>
      </c>
      <c r="F29" s="172">
        <v>407</v>
      </c>
      <c r="G29" s="172">
        <v>0</v>
      </c>
      <c r="H29" s="172">
        <v>0</v>
      </c>
      <c r="I29" s="172">
        <v>1</v>
      </c>
      <c r="J29" s="172">
        <v>0</v>
      </c>
      <c r="K29" s="172">
        <v>0</v>
      </c>
      <c r="L29" s="172">
        <v>0</v>
      </c>
      <c r="M29" s="172">
        <v>0</v>
      </c>
      <c r="N29" s="172">
        <v>0</v>
      </c>
      <c r="O29" s="172">
        <v>0</v>
      </c>
    </row>
    <row r="30" spans="2:15" x14ac:dyDescent="0.25">
      <c r="B30" s="176" t="s">
        <v>16</v>
      </c>
      <c r="C30" s="172">
        <v>820</v>
      </c>
      <c r="D30" s="172">
        <v>59</v>
      </c>
      <c r="E30" s="172">
        <v>66</v>
      </c>
      <c r="F30" s="172">
        <v>1703</v>
      </c>
      <c r="G30" s="172">
        <v>450</v>
      </c>
      <c r="H30" s="172">
        <v>1</v>
      </c>
      <c r="I30" s="172">
        <v>0</v>
      </c>
      <c r="J30" s="172">
        <v>0</v>
      </c>
      <c r="K30" s="172">
        <v>0</v>
      </c>
      <c r="L30" s="172">
        <v>0</v>
      </c>
      <c r="M30" s="172">
        <v>0</v>
      </c>
      <c r="N30" s="172">
        <v>0</v>
      </c>
      <c r="O30" s="172">
        <v>0</v>
      </c>
    </row>
    <row r="31" spans="2:15" x14ac:dyDescent="0.25">
      <c r="B31" s="176" t="s">
        <v>17</v>
      </c>
      <c r="C31" s="172">
        <v>642</v>
      </c>
      <c r="D31" s="172">
        <v>3</v>
      </c>
      <c r="E31" s="172">
        <v>0</v>
      </c>
      <c r="F31" s="172">
        <v>140</v>
      </c>
      <c r="G31" s="172">
        <v>2090</v>
      </c>
      <c r="H31" s="172">
        <v>1263</v>
      </c>
      <c r="I31" s="172">
        <v>6</v>
      </c>
      <c r="J31" s="172">
        <v>0</v>
      </c>
      <c r="K31" s="172">
        <v>0</v>
      </c>
      <c r="L31" s="172">
        <v>0</v>
      </c>
      <c r="M31" s="172">
        <v>0</v>
      </c>
      <c r="N31" s="172">
        <v>0</v>
      </c>
      <c r="O31" s="172">
        <v>0</v>
      </c>
    </row>
    <row r="32" spans="2:15" ht="30" x14ac:dyDescent="0.25">
      <c r="B32" s="176" t="s">
        <v>78</v>
      </c>
      <c r="C32" s="172">
        <v>2572</v>
      </c>
      <c r="D32" s="172">
        <v>0</v>
      </c>
      <c r="E32" s="172">
        <v>0</v>
      </c>
      <c r="F32" s="172">
        <v>1</v>
      </c>
      <c r="G32" s="172">
        <v>0</v>
      </c>
      <c r="H32" s="172">
        <v>16</v>
      </c>
      <c r="I32" s="172">
        <v>538</v>
      </c>
      <c r="J32" s="172">
        <v>4</v>
      </c>
      <c r="K32" s="172">
        <v>0</v>
      </c>
      <c r="L32" s="172">
        <v>0</v>
      </c>
      <c r="M32" s="172">
        <v>0</v>
      </c>
      <c r="N32" s="172">
        <v>0</v>
      </c>
      <c r="O32" s="172">
        <v>0</v>
      </c>
    </row>
    <row r="33" spans="2:15" x14ac:dyDescent="0.25">
      <c r="B33" s="176" t="s">
        <v>79</v>
      </c>
      <c r="C33" s="172">
        <v>1464</v>
      </c>
      <c r="D33" s="172">
        <v>0</v>
      </c>
      <c r="E33" s="172">
        <v>0</v>
      </c>
      <c r="F33" s="172">
        <v>0</v>
      </c>
      <c r="G33" s="172">
        <v>8</v>
      </c>
      <c r="H33" s="172">
        <v>208</v>
      </c>
      <c r="I33" s="172">
        <v>5</v>
      </c>
      <c r="J33" s="172">
        <v>1831</v>
      </c>
      <c r="K33" s="172">
        <v>0</v>
      </c>
      <c r="L33" s="172">
        <v>0</v>
      </c>
      <c r="M33" s="172">
        <v>0</v>
      </c>
      <c r="N33" s="172">
        <v>3</v>
      </c>
      <c r="O33" s="172">
        <v>1</v>
      </c>
    </row>
    <row r="34" spans="2:15" x14ac:dyDescent="0.25">
      <c r="B34" s="176" t="s">
        <v>20</v>
      </c>
      <c r="C34" s="172">
        <v>73</v>
      </c>
      <c r="D34" s="172">
        <v>0</v>
      </c>
      <c r="E34" s="172">
        <v>0</v>
      </c>
      <c r="F34" s="172">
        <v>0</v>
      </c>
      <c r="G34" s="172">
        <v>1</v>
      </c>
      <c r="H34" s="172">
        <v>2</v>
      </c>
      <c r="I34" s="172">
        <v>0</v>
      </c>
      <c r="J34" s="172">
        <v>0</v>
      </c>
      <c r="K34" s="172">
        <v>7</v>
      </c>
      <c r="L34" s="172">
        <v>0</v>
      </c>
      <c r="M34" s="172">
        <v>0</v>
      </c>
      <c r="N34" s="172">
        <v>0</v>
      </c>
      <c r="O34" s="172">
        <v>0</v>
      </c>
    </row>
    <row r="35" spans="2:15" x14ac:dyDescent="0.25">
      <c r="B35" s="176" t="s">
        <v>21</v>
      </c>
      <c r="C35" s="172">
        <v>0</v>
      </c>
      <c r="D35" s="172">
        <v>0</v>
      </c>
      <c r="E35" s="172">
        <v>0</v>
      </c>
      <c r="F35" s="172">
        <v>0</v>
      </c>
      <c r="G35" s="172">
        <v>0</v>
      </c>
      <c r="H35" s="172">
        <v>1</v>
      </c>
      <c r="I35" s="172">
        <v>0</v>
      </c>
      <c r="J35" s="172">
        <v>0</v>
      </c>
      <c r="K35" s="172">
        <v>103</v>
      </c>
      <c r="L35" s="172">
        <v>1</v>
      </c>
      <c r="M35" s="172">
        <v>0</v>
      </c>
      <c r="N35" s="172">
        <v>0</v>
      </c>
      <c r="O35" s="172">
        <v>0</v>
      </c>
    </row>
    <row r="36" spans="2:15" x14ac:dyDescent="0.25">
      <c r="B36" s="176" t="s">
        <v>22</v>
      </c>
      <c r="C36" s="172">
        <v>1</v>
      </c>
      <c r="D36" s="172">
        <v>0</v>
      </c>
      <c r="E36" s="172">
        <v>0</v>
      </c>
      <c r="F36" s="172">
        <v>0</v>
      </c>
      <c r="G36" s="172">
        <v>0</v>
      </c>
      <c r="H36" s="172">
        <v>0</v>
      </c>
      <c r="I36" s="172">
        <v>0</v>
      </c>
      <c r="J36" s="172">
        <v>0</v>
      </c>
      <c r="K36" s="172">
        <v>47</v>
      </c>
      <c r="L36" s="172">
        <v>44</v>
      </c>
      <c r="M36" s="172">
        <v>3</v>
      </c>
      <c r="N36" s="172">
        <v>0</v>
      </c>
      <c r="O36" s="172">
        <v>0</v>
      </c>
    </row>
    <row r="37" spans="2:15" x14ac:dyDescent="0.25">
      <c r="B37" s="176" t="s">
        <v>80</v>
      </c>
      <c r="C37" s="172">
        <v>267</v>
      </c>
      <c r="D37" s="172">
        <v>0</v>
      </c>
      <c r="E37" s="172">
        <v>0</v>
      </c>
      <c r="F37" s="172">
        <v>0</v>
      </c>
      <c r="G37" s="172">
        <v>0</v>
      </c>
      <c r="H37" s="172">
        <v>9</v>
      </c>
      <c r="I37" s="172">
        <v>0</v>
      </c>
      <c r="J37" s="172">
        <v>31</v>
      </c>
      <c r="K37" s="172">
        <v>0</v>
      </c>
      <c r="L37" s="172">
        <v>0</v>
      </c>
      <c r="M37" s="172">
        <v>0</v>
      </c>
      <c r="N37" s="172">
        <v>561</v>
      </c>
      <c r="O37" s="172">
        <v>3</v>
      </c>
    </row>
    <row r="38" spans="2:15" x14ac:dyDescent="0.25">
      <c r="B38" s="176" t="s">
        <v>81</v>
      </c>
      <c r="C38" s="172">
        <v>11</v>
      </c>
      <c r="D38" s="172">
        <v>0</v>
      </c>
      <c r="E38" s="172">
        <v>0</v>
      </c>
      <c r="F38" s="172">
        <v>0</v>
      </c>
      <c r="G38" s="172">
        <v>0</v>
      </c>
      <c r="H38" s="172">
        <v>0</v>
      </c>
      <c r="I38" s="172">
        <v>0</v>
      </c>
      <c r="J38" s="172">
        <v>1</v>
      </c>
      <c r="K38" s="172">
        <v>0</v>
      </c>
      <c r="L38" s="172">
        <v>0</v>
      </c>
      <c r="M38" s="172">
        <v>0</v>
      </c>
      <c r="N38" s="172">
        <v>134</v>
      </c>
      <c r="O38" s="172">
        <v>145</v>
      </c>
    </row>
    <row r="39" spans="2:15" ht="30" x14ac:dyDescent="0.25">
      <c r="B39" s="176" t="s">
        <v>83</v>
      </c>
      <c r="C39" s="172">
        <v>0</v>
      </c>
      <c r="D39" s="172">
        <v>0</v>
      </c>
      <c r="E39" s="172">
        <v>0</v>
      </c>
      <c r="F39" s="172">
        <v>1</v>
      </c>
      <c r="G39" s="172">
        <v>198</v>
      </c>
      <c r="H39" s="172">
        <v>2341</v>
      </c>
      <c r="I39" s="172">
        <v>0</v>
      </c>
      <c r="J39" s="172">
        <v>1240</v>
      </c>
      <c r="K39" s="172">
        <v>0</v>
      </c>
      <c r="L39" s="172">
        <v>17</v>
      </c>
      <c r="M39" s="172">
        <v>77</v>
      </c>
      <c r="N39" s="172">
        <v>74</v>
      </c>
      <c r="O39" s="172">
        <v>83</v>
      </c>
    </row>
    <row r="40" spans="2:15" x14ac:dyDescent="0.25">
      <c r="B40" s="176" t="s">
        <v>84</v>
      </c>
      <c r="C40" s="172">
        <v>0</v>
      </c>
      <c r="D40" s="172">
        <v>712</v>
      </c>
      <c r="E40" s="172">
        <v>587</v>
      </c>
      <c r="F40" s="172">
        <v>617</v>
      </c>
      <c r="G40" s="172">
        <v>498</v>
      </c>
      <c r="H40" s="172">
        <v>532</v>
      </c>
      <c r="I40" s="172">
        <v>1631</v>
      </c>
      <c r="J40" s="172">
        <v>640</v>
      </c>
      <c r="K40" s="172">
        <v>16</v>
      </c>
      <c r="L40" s="172">
        <v>2</v>
      </c>
      <c r="M40" s="172">
        <v>0</v>
      </c>
      <c r="N40" s="172">
        <v>122</v>
      </c>
      <c r="O40" s="172">
        <v>19</v>
      </c>
    </row>
    <row r="41" spans="2:15" x14ac:dyDescent="0.25">
      <c r="B41" s="176" t="s">
        <v>25</v>
      </c>
      <c r="C41" s="172">
        <v>9226</v>
      </c>
      <c r="D41" s="172">
        <v>2414</v>
      </c>
      <c r="E41" s="172">
        <v>1275</v>
      </c>
      <c r="F41" s="172">
        <v>2869</v>
      </c>
      <c r="G41" s="172">
        <v>3245</v>
      </c>
      <c r="H41" s="172">
        <v>4373</v>
      </c>
      <c r="I41" s="172">
        <v>2532</v>
      </c>
      <c r="J41" s="172">
        <v>3747</v>
      </c>
      <c r="K41" s="172">
        <v>173</v>
      </c>
      <c r="L41" s="172">
        <v>64</v>
      </c>
      <c r="M41" s="172">
        <v>80</v>
      </c>
      <c r="N41" s="172">
        <v>894</v>
      </c>
      <c r="O41" s="172">
        <v>251</v>
      </c>
    </row>
    <row r="43" spans="2:15" x14ac:dyDescent="0.25">
      <c r="B43" s="171"/>
    </row>
  </sheetData>
  <mergeCells count="2">
    <mergeCell ref="B3:B4"/>
    <mergeCell ref="B25:B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Sheet3</vt:lpstr>
      <vt:lpstr>Sheet2</vt:lpstr>
      <vt:lpstr>Sheet1</vt:lpstr>
      <vt:lpstr>Sheet4</vt:lpstr>
    </vt:vector>
  </TitlesOfParts>
  <Company>The University of Memphis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donhardt</dc:creator>
  <cp:lastModifiedBy>Bridgette Decent (bdecent)</cp:lastModifiedBy>
  <cp:lastPrinted>2015-09-25T13:43:36Z</cp:lastPrinted>
  <dcterms:created xsi:type="dcterms:W3CDTF">2009-07-08T14:12:59Z</dcterms:created>
  <dcterms:modified xsi:type="dcterms:W3CDTF">2023-09-12T20:50:38Z</dcterms:modified>
</cp:coreProperties>
</file>