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0" windowWidth="22360" windowHeight="13380" tabRatio="807" activeTab="0"/>
  </bookViews>
  <sheets>
    <sheet name="COHORT" sheetId="1" r:id="rId1"/>
    <sheet name="2020 Projection" sheetId="2" r:id="rId2"/>
    <sheet name="2030 Projection" sheetId="3" r:id="rId3"/>
  </sheets>
  <definedNames>
    <definedName name="__123Graph_A" hidden="1">'COHORT'!$AP$11:$AP$28</definedName>
    <definedName name="__123Graph_AFIFTMALE" hidden="1">'COHORT'!$CO$11:$CO$28</definedName>
    <definedName name="__123Graph_AFIFTNFEM" hidden="1">'COHORT'!$CN$11:$CN$28</definedName>
    <definedName name="__123Graph_AFIVEFEM" hidden="1">'COHORT'!$AP$11:$AP$28</definedName>
    <definedName name="__123Graph_AFIVEMALE" hidden="1">'COHORT'!$AQ$11:$AQ$28</definedName>
    <definedName name="__123Graph_AMIGRATE" hidden="1">'COHORT'!$V$13:$V$28</definedName>
    <definedName name="__123Graph_ATENFEM" hidden="1">'COHORT'!$AW$11:$AW$28</definedName>
    <definedName name="__123Graph_ATENMALE" hidden="1">'COHORT'!$AX$11:$AX$28</definedName>
    <definedName name="__123Graph_ATWENFEM" hidden="1">'COHORT'!$CU$11:$CU$28</definedName>
    <definedName name="__123Graph_ATWENMALE" hidden="1">'COHORT'!$CV$11:$CV$28</definedName>
    <definedName name="__123Graph_B" hidden="1">'COHORT'!$AZ$11:$AZ$28</definedName>
    <definedName name="__123Graph_BFIFTMALE" hidden="1">'COHORT'!$BA$11:$BA$28</definedName>
    <definedName name="__123Graph_BFIFTNFEM" hidden="1">'COHORT'!$AZ$11:$AZ$28</definedName>
    <definedName name="__123Graph_BFIVEFEM" hidden="1">'COHORT'!$AZ$11:$AZ$28</definedName>
    <definedName name="__123Graph_BFIVEMALE" hidden="1">'COHORT'!$BA$11:$BA$28</definedName>
    <definedName name="__123Graph_BMIGRATE" hidden="1">'COHORT'!$W$13:$W$28</definedName>
    <definedName name="__123Graph_BTENFEM" hidden="1">'COHORT'!$AZ$11:$AZ$28</definedName>
    <definedName name="__123Graph_BTENMALE" hidden="1">'COHORT'!$BA$11:$BA$28</definedName>
    <definedName name="__123Graph_BTWENFEM" hidden="1">'COHORT'!$AZ$11:$AZ$28</definedName>
    <definedName name="__123Graph_BTWENMALE" hidden="1">'COHORT'!$BA$11:$BA$28</definedName>
    <definedName name="__123Graph_X" hidden="1">'COHORT'!$Q$11:$Q$28</definedName>
    <definedName name="__123Graph_XFIFTMALE" hidden="1">'COHORT'!$Q$11:$Q$28</definedName>
    <definedName name="__123Graph_XFIFTNFEM" hidden="1">'COHORT'!$Q$11:$Q$28</definedName>
    <definedName name="__123Graph_XFIVEFEM" hidden="1">'COHORT'!$Q$11:$Q$28</definedName>
    <definedName name="__123Graph_XFIVEMALE" hidden="1">'COHORT'!$Q$11:$Q$28</definedName>
    <definedName name="__123Graph_XMIGRATE" hidden="1">'COHORT'!$J$15:$J$30</definedName>
    <definedName name="__123Graph_XTENFEM" hidden="1">'COHORT'!$Q$11:$Q$28</definedName>
    <definedName name="__123Graph_XTENMALE" hidden="1">'COHORT'!$Q$11:$Q$28</definedName>
    <definedName name="__123Graph_XTWENFEM" hidden="1">'COHORT'!$Q$11:$Q$28</definedName>
    <definedName name="__123Graph_XTWENMALE" hidden="1">'COHORT'!$Q$11:$Q$28</definedName>
    <definedName name="_Fill" hidden="1">'COHORT'!#REF!</definedName>
    <definedName name="_Regression_Int" localSheetId="0" hidden="1">0</definedName>
    <definedName name="\0">'COHORT'!#REF!</definedName>
    <definedName name="\a">'COHORT'!#REF!</definedName>
    <definedName name="\c">'COHORT'!#REF!</definedName>
    <definedName name="\d">'COHORT'!#REF!</definedName>
    <definedName name="\g">'COHORT'!#REF!</definedName>
    <definedName name="\i">'COHORT'!#REF!</definedName>
    <definedName name="\l">'COHORT'!#REF!</definedName>
    <definedName name="\m">'COHORT'!#REF!</definedName>
    <definedName name="\o">'COHORT'!#REF!</definedName>
    <definedName name="\p">'COHORT'!#REF!</definedName>
    <definedName name="\q">'COHORT'!#REF!</definedName>
    <definedName name="\r">'COHORT'!#REF!</definedName>
    <definedName name="\w">'COHORT'!#REF!</definedName>
    <definedName name="\z">'COHORT'!#REF!</definedName>
    <definedName name="ADJUST_ADD">'COHORT'!#REF!</definedName>
    <definedName name="ADJUST_MENU">'COHORT'!#REF!</definedName>
    <definedName name="ADJUST_MIGR">'COHORT'!#REF!</definedName>
    <definedName name="ADJUST_SURV">'COHORT'!#REF!</definedName>
    <definedName name="AGE_MENU">'COHORT'!#REF!</definedName>
    <definedName name="BASEYEAR">'COHORT'!$B$3</definedName>
    <definedName name="DATABASE">'COHORT'!#REF!</definedName>
    <definedName name="Database_MI">'COHORT'!#REF!</definedName>
    <definedName name="DOCUMENTATION">'COHORT'!#REF!</definedName>
    <definedName name="ENTER_BIRTHS">'COHORT'!#REF!</definedName>
    <definedName name="ENTER_POP">'COHORT'!#REF!</definedName>
    <definedName name="FUTURE_GRAPH">'COHORT'!#REF!</definedName>
    <definedName name="GRAPH_MENU">'COHORT'!#REF!</definedName>
    <definedName name="INPUT_MENU">'COHORT'!#REF!</definedName>
    <definedName name="LABELS_MENU">'COHORT'!#REF!</definedName>
    <definedName name="LOCATION_MAP">'COHORT'!#REF!</definedName>
    <definedName name="MACRO_DOCUMENT">'COHORT'!#REF!</definedName>
    <definedName name="MACROS">'COHORT'!#REF!</definedName>
    <definedName name="MAIN_MENU">'COHORT'!#REF!</definedName>
    <definedName name="MENU_SCREEN">'COHORT'!#REF!</definedName>
    <definedName name="MIGRATION_MENU">'COHORT'!#REF!</definedName>
    <definedName name="OUTPUT_MENU">'COHORT'!#REF!</definedName>
    <definedName name="POP_MENU">'COHORT'!#REF!</definedName>
    <definedName name="_xlnm.Print_Area" localSheetId="0">'COHORT'!$A$1:$CT$34</definedName>
    <definedName name="Print_Area_MI" localSheetId="0">'COHORT'!$A$1:$DA$34</definedName>
    <definedName name="Print_Titles_MI" localSheetId="0">'COHORT'!#REF!,'COHORT'!#REF!</definedName>
    <definedName name="QUIT_SAVE_MENU">'COHORT'!#REF!</definedName>
    <definedName name="RANGE_DESCRIPT">'COHORT'!#REF!</definedName>
    <definedName name="RESPONSE">'COHORT'!#REF!</definedName>
    <definedName name="WELCOME_PROMPT">'COHORT'!#REF!</definedName>
    <definedName name="WELCOME_SCREEN">'COHORT'!#REF!</definedName>
  </definedNames>
  <calcPr fullCalcOnLoad="1"/>
</workbook>
</file>

<file path=xl/sharedStrings.xml><?xml version="1.0" encoding="utf-8"?>
<sst xmlns="http://schemas.openxmlformats.org/spreadsheetml/2006/main" count="1687" uniqueCount="250">
  <si>
    <t>*</t>
  </si>
  <si>
    <t>=</t>
  </si>
  <si>
    <t xml:space="preserve"> </t>
  </si>
  <si>
    <t>EXPECTED NUMBER</t>
  </si>
  <si>
    <t>ESTIMATED NET</t>
  </si>
  <si>
    <t>PROJECTED NUMBER</t>
  </si>
  <si>
    <t>FEMALE</t>
  </si>
  <si>
    <t>MALE</t>
  </si>
  <si>
    <t>PROJECTED NET</t>
  </si>
  <si>
    <t>ADJUSTMENT OF</t>
  </si>
  <si>
    <t>ADD/SUBTRACT NET</t>
  </si>
  <si>
    <t xml:space="preserve">            &lt;-- FIRST 1O-YEAR PERIOD</t>
  </si>
  <si>
    <t>***</t>
  </si>
  <si>
    <t>SECOND 10-YEAR PERIOD --&gt;</t>
  </si>
  <si>
    <t>-</t>
  </si>
  <si>
    <t>FEMALE 5-YEAR</t>
  </si>
  <si>
    <t>MALE 5-YEAR</t>
  </si>
  <si>
    <t>FEMALE 10-YEAR</t>
  </si>
  <si>
    <t>MALE 10-YEAR</t>
  </si>
  <si>
    <t>EXACT AGE</t>
  </si>
  <si>
    <t>NUMBER OF</t>
  </si>
  <si>
    <t>OF FEMALE</t>
  </si>
  <si>
    <t>OF MALE</t>
  </si>
  <si>
    <t>MIGRATION</t>
  </si>
  <si>
    <t>NUMBER OF FEMALE</t>
  </si>
  <si>
    <t>NUMBER OF MALE</t>
  </si>
  <si>
    <t>FEMALE MIGRATION</t>
  </si>
  <si>
    <t>MALE MIGRATION</t>
  </si>
  <si>
    <t>FEMALE MIGRANTS</t>
  </si>
  <si>
    <t>MALE MIGRANTS</t>
  </si>
  <si>
    <t>CHILD-WOMAN</t>
  </si>
  <si>
    <t>PROPORTION OF</t>
  </si>
  <si>
    <t>AGE</t>
  </si>
  <si>
    <t>EXACT</t>
  </si>
  <si>
    <t>SURVIVAL RATE</t>
  </si>
  <si>
    <t>INTERVALS -</t>
  </si>
  <si>
    <t>FEMALES IN</t>
  </si>
  <si>
    <t>MALES IN</t>
  </si>
  <si>
    <t>SURVIVORS</t>
  </si>
  <si>
    <t>INTERVALS</t>
  </si>
  <si>
    <t>FEMALE SURVIVAL</t>
  </si>
  <si>
    <t>MALE SURVIVAL</t>
  </si>
  <si>
    <t>RATIO</t>
  </si>
  <si>
    <t>MIGRANTS IN NEXT</t>
  </si>
  <si>
    <t xml:space="preserve">RATES FOR </t>
  </si>
  <si>
    <t>IN FIRST 10 YEARS</t>
  </si>
  <si>
    <t>TOTAL</t>
  </si>
  <si>
    <t>FEMALES</t>
  </si>
  <si>
    <t>RATIO FOR</t>
  </si>
  <si>
    <t>EXPECTED</t>
  </si>
  <si>
    <t>CURRENT TOTAL</t>
  </si>
  <si>
    <t>CURRENT FEMALE</t>
  </si>
  <si>
    <t>CURRENT MALE</t>
  </si>
  <si>
    <t>MIGRANTS IN SECOND</t>
  </si>
  <si>
    <t>10-YEAR TOTAL</t>
  </si>
  <si>
    <t>10-YEAR FEMALE</t>
  </si>
  <si>
    <t>10-YEAR MALE</t>
  </si>
  <si>
    <t xml:space="preserve">BY AGE GROUP </t>
  </si>
  <si>
    <t>BY AGE GROUP</t>
  </si>
  <si>
    <t>10 YEARS</t>
  </si>
  <si>
    <t>EACH AGE</t>
  </si>
  <si>
    <t>OVER LAST</t>
  </si>
  <si>
    <t xml:space="preserve">OVER NEXT </t>
  </si>
  <si>
    <t xml:space="preserve">RATE FOR NEXT </t>
  </si>
  <si>
    <t>FOR NEXT</t>
  </si>
  <si>
    <t>10 YEARS UNDER</t>
  </si>
  <si>
    <t>FIRST 10 YEARS</t>
  </si>
  <si>
    <t>10 YEARS AFTER</t>
  </si>
  <si>
    <t>TO THOSE</t>
  </si>
  <si>
    <t>BETWEEN</t>
  </si>
  <si>
    <t>AGES 0-4</t>
  </si>
  <si>
    <t>AGES 5-9</t>
  </si>
  <si>
    <t>POPULATION IN</t>
  </si>
  <si>
    <t>FOR BASE</t>
  </si>
  <si>
    <t>OVER FIRST</t>
  </si>
  <si>
    <t>OVER SECOND</t>
  </si>
  <si>
    <t>RATE FOR SECOND</t>
  </si>
  <si>
    <t>FOR SECOND</t>
  </si>
  <si>
    <t>SECOND 10 YEARS</t>
  </si>
  <si>
    <t>IN SECOND 10 YEARS</t>
  </si>
  <si>
    <t>INTERVALS (t)</t>
  </si>
  <si>
    <t xml:space="preserve">     sF</t>
  </si>
  <si>
    <t xml:space="preserve">     sM</t>
  </si>
  <si>
    <t>AGO</t>
  </si>
  <si>
    <t>GROUP 10</t>
  </si>
  <si>
    <t>SAME CONDITIONS</t>
  </si>
  <si>
    <t xml:space="preserve"> (no change=1.0000)</t>
  </si>
  <si>
    <t>ADJUSTMENT</t>
  </si>
  <si>
    <t>CALCULATED</t>
  </si>
  <si>
    <t>OVER NEXT TEN YEARS</t>
  </si>
  <si>
    <t>10 - 49 YEARS</t>
  </si>
  <si>
    <t>IN 5 YEARS</t>
  </si>
  <si>
    <t>POPULATION</t>
  </si>
  <si>
    <t>MALES</t>
  </si>
  <si>
    <t>EACH AGE GROUP</t>
  </si>
  <si>
    <t>IN 10 YEARS</t>
  </si>
  <si>
    <t>YEAR</t>
  </si>
  <si>
    <t>GROUP FOR</t>
  </si>
  <si>
    <t>OVER SECOND TEN YEARS</t>
  </si>
  <si>
    <t>IN 15 YEARS</t>
  </si>
  <si>
    <t>IN 20 YEARS</t>
  </si>
  <si>
    <t>x to x+n</t>
  </si>
  <si>
    <t xml:space="preserve">    5  x</t>
  </si>
  <si>
    <t xml:space="preserve">   10  x</t>
  </si>
  <si>
    <t xml:space="preserve"> x to x+n</t>
  </si>
  <si>
    <t>YEARS AGO</t>
  </si>
  <si>
    <t xml:space="preserve"> F(t-10)*10sF</t>
  </si>
  <si>
    <t xml:space="preserve"> M(t-10)*10sM</t>
  </si>
  <si>
    <t xml:space="preserve">  M(t) - column P</t>
  </si>
  <si>
    <t xml:space="preserve">  x to x+n</t>
  </si>
  <si>
    <t>(no change=1.0000)</t>
  </si>
  <si>
    <t xml:space="preserve"> F(t)*10sF*Adj(F)</t>
  </si>
  <si>
    <t xml:space="preserve"> M(t)*10sM*Adj(M)</t>
  </si>
  <si>
    <t xml:space="preserve">     Adj[mF]</t>
  </si>
  <si>
    <t xml:space="preserve">     Adj[mM]</t>
  </si>
  <si>
    <t>(add into table)</t>
  </si>
  <si>
    <t xml:space="preserve">   F(10-49)</t>
  </si>
  <si>
    <t xml:space="preserve"> P(0-4)/F(10-49)</t>
  </si>
  <si>
    <t xml:space="preserve"> P(5-9)/F(10-49)</t>
  </si>
  <si>
    <t xml:space="preserve"> (from column F)</t>
  </si>
  <si>
    <t xml:space="preserve"> (from column G)</t>
  </si>
  <si>
    <t>BASE YEAR</t>
  </si>
  <si>
    <t xml:space="preserve">  F(t) - column BL</t>
  </si>
  <si>
    <t xml:space="preserve">  M(t) - column BM</t>
  </si>
  <si>
    <t xml:space="preserve"> (from column BC)</t>
  </si>
  <si>
    <t xml:space="preserve"> (from column BD)</t>
  </si>
  <si>
    <t xml:space="preserve"> 0-4 </t>
  </si>
  <si>
    <t>included in</t>
  </si>
  <si>
    <t xml:space="preserve"> included in</t>
  </si>
  <si>
    <t xml:space="preserve">0-4  </t>
  </si>
  <si>
    <t xml:space="preserve">-1 </t>
  </si>
  <si>
    <t>ages 0-4</t>
  </si>
  <si>
    <t xml:space="preserve"> 5-9 </t>
  </si>
  <si>
    <t>CWR calculation</t>
  </si>
  <si>
    <t xml:space="preserve"> CWR calculation</t>
  </si>
  <si>
    <t xml:space="preserve">5-9  </t>
  </si>
  <si>
    <t>CURRENT</t>
  </si>
  <si>
    <t xml:space="preserve">      CURRENT</t>
  </si>
  <si>
    <t xml:space="preserve">1-4 </t>
  </si>
  <si>
    <t>10-14</t>
  </si>
  <si>
    <t/>
  </si>
  <si>
    <t xml:space="preserve">10-14 </t>
  </si>
  <si>
    <t xml:space="preserve">5-9 </t>
  </si>
  <si>
    <t>15-19</t>
  </si>
  <si>
    <t xml:space="preserve">15-19 </t>
  </si>
  <si>
    <t>0-4</t>
  </si>
  <si>
    <t>20-24</t>
  </si>
  <si>
    <t xml:space="preserve">20-24 </t>
  </si>
  <si>
    <t xml:space="preserve">     IN 10 YEARS</t>
  </si>
  <si>
    <t xml:space="preserve">   IN 10 YEARS</t>
  </si>
  <si>
    <t xml:space="preserve">    IN 10 YEARS</t>
  </si>
  <si>
    <t>5-9</t>
  </si>
  <si>
    <t>25-29</t>
  </si>
  <si>
    <t xml:space="preserve">25-29 </t>
  </si>
  <si>
    <t>30-34</t>
  </si>
  <si>
    <t xml:space="preserve">30-34 </t>
  </si>
  <si>
    <t>35-39</t>
  </si>
  <si>
    <t xml:space="preserve">35-39 </t>
  </si>
  <si>
    <t xml:space="preserve">    IN SECOND 10</t>
  </si>
  <si>
    <t>40-44</t>
  </si>
  <si>
    <t xml:space="preserve">      AT SAME RATE  </t>
  </si>
  <si>
    <t xml:space="preserve">40-44 </t>
  </si>
  <si>
    <t xml:space="preserve">     YEARS AT SAME</t>
  </si>
  <si>
    <t xml:space="preserve">    YEARS AT SAME</t>
  </si>
  <si>
    <t>45-49</t>
  </si>
  <si>
    <t xml:space="preserve">  OF CHANGE</t>
  </si>
  <si>
    <t xml:space="preserve">45-49 </t>
  </si>
  <si>
    <t xml:space="preserve">      RATE OF CHANGE</t>
  </si>
  <si>
    <t xml:space="preserve">     RATE OF CHANGE</t>
  </si>
  <si>
    <t>50-54</t>
  </si>
  <si>
    <t xml:space="preserve">50-54 </t>
  </si>
  <si>
    <t>55-59</t>
  </si>
  <si>
    <t xml:space="preserve">55-59 </t>
  </si>
  <si>
    <t>60-64</t>
  </si>
  <si>
    <t xml:space="preserve">60-64 </t>
  </si>
  <si>
    <t>65-69</t>
  </si>
  <si>
    <t xml:space="preserve">65-69 </t>
  </si>
  <si>
    <t>Female</t>
  </si>
  <si>
    <t>Male</t>
  </si>
  <si>
    <t>70-75</t>
  </si>
  <si>
    <t xml:space="preserve">70-74 </t>
  </si>
  <si>
    <t>75-79</t>
  </si>
  <si>
    <t xml:space="preserve">75-79 </t>
  </si>
  <si>
    <t>70-74</t>
  </si>
  <si>
    <t>80-84</t>
  </si>
  <si>
    <t xml:space="preserve"> ENTER CWR 0-4 BELOW</t>
  </si>
  <si>
    <t xml:space="preserve"> ENTER CWR 5-9 BELOW</t>
  </si>
  <si>
    <t xml:space="preserve">80-84 </t>
  </si>
  <si>
    <t>85+</t>
  </si>
  <si>
    <t xml:space="preserve">85+  </t>
  </si>
  <si>
    <t>indeterminate</t>
  </si>
  <si>
    <t xml:space="preserve">            ====&gt;</t>
  </si>
  <si>
    <t xml:space="preserve">85+ </t>
  </si>
  <si>
    <t>75+</t>
  </si>
  <si>
    <t xml:space="preserve">TOTAL POPULATION = </t>
  </si>
  <si>
    <t>Survival Rate</t>
  </si>
  <si>
    <t>Migration Adjustments</t>
  </si>
  <si>
    <t>Fertility Calculations (Child-Woman Ratio)</t>
  </si>
  <si>
    <t>Projection for second 10 years --&gt;</t>
  </si>
  <si>
    <t>Fertility Calculations (CWR)</t>
  </si>
  <si>
    <t>2020 Projection</t>
  </si>
  <si>
    <t>5 to 9 years</t>
  </si>
  <si>
    <t>10 to 14 years</t>
  </si>
  <si>
    <t>15 to 19 years</t>
  </si>
  <si>
    <t>20 to 24 years</t>
  </si>
  <si>
    <t>25 to 29 years</t>
  </si>
  <si>
    <t>30 to 34 years</t>
  </si>
  <si>
    <t>35 to 39 years</t>
  </si>
  <si>
    <t>40 to 44 years</t>
  </si>
  <si>
    <t>45 to 49 years</t>
  </si>
  <si>
    <t>50 to 54 years</t>
  </si>
  <si>
    <t>55 to 59 years</t>
  </si>
  <si>
    <t>60 to 64 years</t>
  </si>
  <si>
    <t>65 to 69 years</t>
  </si>
  <si>
    <t>70 to 74 years</t>
  </si>
  <si>
    <t>75 to 79 years</t>
  </si>
  <si>
    <t>80 to 84 years</t>
  </si>
  <si>
    <t>85 years and over</t>
  </si>
  <si>
    <t>0 to 4 years</t>
  </si>
  <si>
    <t>Total</t>
  </si>
  <si>
    <t xml:space="preserve">Age </t>
  </si>
  <si>
    <t>Projected Population, 2020</t>
  </si>
  <si>
    <t xml:space="preserve">  F(t) - column M</t>
  </si>
  <si>
    <t xml:space="preserve"> (column O/column M)</t>
  </si>
  <si>
    <t xml:space="preserve"> (column P/column N)</t>
  </si>
  <si>
    <t xml:space="preserve"> (column V*column T)</t>
  </si>
  <si>
    <t xml:space="preserve"> (column W*column U)</t>
  </si>
  <si>
    <t xml:space="preserve"> (column X*column Z)</t>
  </si>
  <si>
    <t xml:space="preserve"> (column Y*column AA)</t>
  </si>
  <si>
    <t xml:space="preserve"> (column BN/column BL)</t>
  </si>
  <si>
    <t xml:space="preserve"> (column BO/column BM)</t>
  </si>
  <si>
    <t xml:space="preserve"> (column BU*column BS)</t>
  </si>
  <si>
    <t xml:space="preserve"> (column BV*column BT)</t>
  </si>
  <si>
    <t xml:space="preserve"> (column BW*column BY)</t>
  </si>
  <si>
    <t xml:space="preserve"> (column BX*column BZ)</t>
  </si>
  <si>
    <t>(column AB+AD)</t>
  </si>
  <si>
    <t>(column AC+AE)</t>
  </si>
  <si>
    <t>(column CA+CC)</t>
  </si>
  <si>
    <t>(column CB+CD)</t>
  </si>
  <si>
    <t>na</t>
  </si>
  <si>
    <t>Migration Calculations (2000-2010)</t>
  </si>
  <si>
    <t xml:space="preserve">Projected Survivors in 2020 </t>
  </si>
  <si>
    <t>Migration Calculation (2010-2020)</t>
  </si>
  <si>
    <t>Projected Survivors 2030</t>
  </si>
  <si>
    <t>2030 Projection</t>
  </si>
  <si>
    <t>Projected Population, 2030</t>
  </si>
  <si>
    <t xml:space="preserve">    10 YEARS AGO (2000)</t>
  </si>
  <si>
    <t>CURRENT (2010)</t>
  </si>
  <si>
    <t xml:space="preserve">    IN 10 YEARS (2020)</t>
  </si>
  <si>
    <t>______ MSA</t>
  </si>
</sst>
</file>

<file path=xl/styles.xml><?xml version="1.0" encoding="utf-8"?>
<styleSheet xmlns="http://schemas.openxmlformats.org/spreadsheetml/2006/main">
  <numFmts count="31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_)"/>
    <numFmt numFmtId="173" formatCode="mm/dd/yy_)"/>
    <numFmt numFmtId="174" formatCode="hh:mm\ AM/PM_)"/>
    <numFmt numFmtId="175" formatCode="0_)"/>
    <numFmt numFmtId="176" formatCode="0.0000_)"/>
    <numFmt numFmtId="177" formatCode="0.000000_)"/>
    <numFmt numFmtId="178" formatCode="_(* #,##0_);_(* \(#,##0\);_(* &quot;-&quot;??_);_(@_)"/>
    <numFmt numFmtId="179" formatCode="0.000_)"/>
    <numFmt numFmtId="180" formatCode="0.0_)"/>
    <numFmt numFmtId="181" formatCode="0.0%"/>
    <numFmt numFmtId="182" formatCode="0.000%"/>
    <numFmt numFmtId="183" formatCode="0.0000%"/>
    <numFmt numFmtId="184" formatCode="_(* #,##0.0_);_(* \(#,##0.0\);_(* &quot;-&quot;??_);_(@_)"/>
    <numFmt numFmtId="185" formatCode="0.000000"/>
    <numFmt numFmtId="186" formatCode="0.00000_)"/>
  </numFmts>
  <fonts count="41">
    <font>
      <sz val="10"/>
      <name val="Courier"/>
      <family val="0"/>
    </font>
    <font>
      <sz val="10"/>
      <name val="Arial"/>
      <family val="0"/>
    </font>
    <font>
      <sz val="8"/>
      <name val="Courier"/>
      <family val="3"/>
    </font>
    <font>
      <b/>
      <sz val="10"/>
      <name val="Arial"/>
      <family val="2"/>
    </font>
    <font>
      <sz val="10"/>
      <color indexed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u val="single"/>
      <sz val="10"/>
      <color indexed="39"/>
      <name val="Courier"/>
      <family val="0"/>
    </font>
    <font>
      <u val="single"/>
      <sz val="10"/>
      <color indexed="36"/>
      <name val="Courier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172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1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58">
    <xf numFmtId="172" fontId="0" fillId="0" borderId="0" xfId="0" applyAlignment="1">
      <alignment/>
    </xf>
    <xf numFmtId="172" fontId="1" fillId="0" borderId="0" xfId="0" applyFont="1" applyAlignment="1">
      <alignment/>
    </xf>
    <xf numFmtId="172" fontId="3" fillId="0" borderId="0" xfId="0" applyFont="1" applyAlignment="1">
      <alignment/>
    </xf>
    <xf numFmtId="178" fontId="1" fillId="0" borderId="0" xfId="42" applyNumberFormat="1" applyFont="1" applyAlignment="1">
      <alignment/>
    </xf>
    <xf numFmtId="172" fontId="3" fillId="0" borderId="10" xfId="0" applyFont="1" applyBorder="1" applyAlignment="1">
      <alignment horizontal="right"/>
    </xf>
    <xf numFmtId="174" fontId="1" fillId="0" borderId="0" xfId="0" applyNumberFormat="1" applyFont="1" applyAlignment="1" applyProtection="1">
      <alignment/>
      <protection/>
    </xf>
    <xf numFmtId="175" fontId="1" fillId="0" borderId="0" xfId="0" applyNumberFormat="1" applyFont="1" applyAlignment="1">
      <alignment/>
    </xf>
    <xf numFmtId="172" fontId="3" fillId="33" borderId="0" xfId="0" applyFont="1" applyFill="1" applyAlignment="1">
      <alignment horizontal="center"/>
    </xf>
    <xf numFmtId="172" fontId="3" fillId="34" borderId="0" xfId="0" applyFont="1" applyFill="1" applyAlignment="1">
      <alignment/>
    </xf>
    <xf numFmtId="172" fontId="1" fillId="0" borderId="0" xfId="0" applyFont="1" applyAlignment="1" applyProtection="1">
      <alignment/>
      <protection/>
    </xf>
    <xf numFmtId="175" fontId="1" fillId="0" borderId="0" xfId="0" applyNumberFormat="1" applyFont="1" applyAlignment="1" applyProtection="1">
      <alignment/>
      <protection/>
    </xf>
    <xf numFmtId="172" fontId="1" fillId="33" borderId="0" xfId="0" applyFont="1" applyFill="1" applyAlignment="1">
      <alignment/>
    </xf>
    <xf numFmtId="172" fontId="3" fillId="0" borderId="0" xfId="0" applyFont="1" applyAlignment="1" applyProtection="1">
      <alignment horizontal="left"/>
      <protection/>
    </xf>
    <xf numFmtId="172" fontId="1" fillId="33" borderId="0" xfId="0" applyFont="1" applyFill="1" applyAlignment="1" applyProtection="1">
      <alignment/>
      <protection/>
    </xf>
    <xf numFmtId="172" fontId="1" fillId="0" borderId="0" xfId="0" applyFont="1" applyAlignment="1" applyProtection="1">
      <alignment horizontal="fill"/>
      <protection/>
    </xf>
    <xf numFmtId="175" fontId="1" fillId="0" borderId="0" xfId="0" applyNumberFormat="1" applyFont="1" applyAlignment="1" applyProtection="1">
      <alignment horizontal="fill"/>
      <protection/>
    </xf>
    <xf numFmtId="172" fontId="1" fillId="33" borderId="0" xfId="0" applyFont="1" applyFill="1" applyAlignment="1" applyProtection="1">
      <alignment horizontal="fill"/>
      <protection/>
    </xf>
    <xf numFmtId="172" fontId="4" fillId="0" borderId="0" xfId="0" applyFont="1" applyAlignment="1" applyProtection="1">
      <alignment horizontal="left"/>
      <protection locked="0"/>
    </xf>
    <xf numFmtId="175" fontId="4" fillId="0" borderId="0" xfId="0" applyNumberFormat="1" applyFont="1" applyAlignment="1" applyProtection="1">
      <alignment/>
      <protection locked="0"/>
    </xf>
    <xf numFmtId="175" fontId="1" fillId="0" borderId="0" xfId="0" applyNumberFormat="1" applyFont="1" applyAlignment="1" applyProtection="1">
      <alignment horizontal="left"/>
      <protection/>
    </xf>
    <xf numFmtId="172" fontId="1" fillId="0" borderId="0" xfId="0" applyFont="1" applyAlignment="1" applyProtection="1">
      <alignment horizontal="left"/>
      <protection/>
    </xf>
    <xf numFmtId="175" fontId="4" fillId="0" borderId="0" xfId="0" applyNumberFormat="1" applyFont="1" applyAlignment="1">
      <alignment horizontal="left"/>
    </xf>
    <xf numFmtId="172" fontId="1" fillId="33" borderId="0" xfId="0" applyFont="1" applyFill="1" applyAlignment="1" applyProtection="1">
      <alignment horizontal="center"/>
      <protection/>
    </xf>
    <xf numFmtId="172" fontId="1" fillId="0" borderId="0" xfId="0" applyFont="1" applyAlignment="1" applyProtection="1">
      <alignment horizontal="center"/>
      <protection/>
    </xf>
    <xf numFmtId="176" fontId="1" fillId="0" borderId="0" xfId="0" applyNumberFormat="1" applyFont="1" applyAlignment="1" applyProtection="1">
      <alignment horizontal="right"/>
      <protection/>
    </xf>
    <xf numFmtId="172" fontId="1" fillId="0" borderId="0" xfId="0" applyFont="1" applyAlignment="1" applyProtection="1">
      <alignment horizontal="right"/>
      <protection/>
    </xf>
    <xf numFmtId="37" fontId="1" fillId="0" borderId="0" xfId="0" applyNumberFormat="1" applyFont="1" applyAlignment="1" applyProtection="1">
      <alignment/>
      <protection/>
    </xf>
    <xf numFmtId="177" fontId="1" fillId="0" borderId="0" xfId="0" applyNumberFormat="1" applyFont="1" applyAlignment="1" applyProtection="1">
      <alignment/>
      <protection/>
    </xf>
    <xf numFmtId="176" fontId="1" fillId="0" borderId="0" xfId="0" applyNumberFormat="1" applyFont="1" applyAlignment="1" applyProtection="1">
      <alignment/>
      <protection/>
    </xf>
    <xf numFmtId="176" fontId="1" fillId="0" borderId="0" xfId="0" applyNumberFormat="1" applyFont="1" applyAlignment="1" applyProtection="1">
      <alignment horizontal="left"/>
      <protection/>
    </xf>
    <xf numFmtId="176" fontId="1" fillId="0" borderId="0" xfId="0" applyNumberFormat="1" applyFont="1" applyAlignment="1" applyProtection="1">
      <alignment horizontal="center"/>
      <protection/>
    </xf>
    <xf numFmtId="183" fontId="4" fillId="0" borderId="0" xfId="57" applyNumberFormat="1" applyFont="1" applyAlignment="1" applyProtection="1">
      <alignment/>
      <protection locked="0"/>
    </xf>
    <xf numFmtId="176" fontId="4" fillId="0" borderId="0" xfId="0" applyNumberFormat="1" applyFont="1" applyAlignment="1" applyProtection="1">
      <alignment/>
      <protection locked="0"/>
    </xf>
    <xf numFmtId="37" fontId="1" fillId="0" borderId="0" xfId="0" applyNumberFormat="1" applyFont="1" applyAlignment="1" applyProtection="1">
      <alignment horizontal="fill"/>
      <protection/>
    </xf>
    <xf numFmtId="37" fontId="1" fillId="0" borderId="0" xfId="0" applyNumberFormat="1" applyFont="1" applyAlignment="1" applyProtection="1">
      <alignment horizontal="center"/>
      <protection/>
    </xf>
    <xf numFmtId="177" fontId="1" fillId="0" borderId="0" xfId="0" applyNumberFormat="1" applyFont="1" applyAlignment="1" applyProtection="1">
      <alignment horizontal="center"/>
      <protection/>
    </xf>
    <xf numFmtId="177" fontId="1" fillId="0" borderId="0" xfId="0" applyNumberFormat="1" applyFont="1" applyAlignment="1" applyProtection="1">
      <alignment horizontal="left"/>
      <protection/>
    </xf>
    <xf numFmtId="177" fontId="1" fillId="0" borderId="0" xfId="0" applyNumberFormat="1" applyFont="1" applyAlignment="1" applyProtection="1">
      <alignment horizontal="fill"/>
      <protection/>
    </xf>
    <xf numFmtId="177" fontId="4" fillId="0" borderId="0" xfId="0" applyNumberFormat="1" applyFont="1" applyAlignment="1" applyProtection="1">
      <alignment/>
      <protection locked="0"/>
    </xf>
    <xf numFmtId="176" fontId="1" fillId="0" borderId="0" xfId="0" applyNumberFormat="1" applyFont="1" applyAlignment="1" applyProtection="1">
      <alignment horizontal="fill"/>
      <protection/>
    </xf>
    <xf numFmtId="172" fontId="4" fillId="0" borderId="0" xfId="0" applyFont="1" applyAlignment="1" applyProtection="1">
      <alignment/>
      <protection locked="0"/>
    </xf>
    <xf numFmtId="172" fontId="4" fillId="33" borderId="0" xfId="0" applyFont="1" applyFill="1" applyAlignment="1" applyProtection="1">
      <alignment/>
      <protection locked="0"/>
    </xf>
    <xf numFmtId="173" fontId="1" fillId="0" borderId="0" xfId="0" applyNumberFormat="1" applyFont="1" applyAlignment="1" applyProtection="1">
      <alignment horizontal="left"/>
      <protection/>
    </xf>
    <xf numFmtId="172" fontId="1" fillId="0" borderId="0" xfId="0" applyFont="1" applyAlignment="1" applyProtection="1" quotePrefix="1">
      <alignment horizontal="left"/>
      <protection/>
    </xf>
    <xf numFmtId="172" fontId="4" fillId="0" borderId="0" xfId="0" applyFont="1" applyAlignment="1" applyProtection="1">
      <alignment horizontal="center"/>
      <protection locked="0"/>
    </xf>
    <xf numFmtId="172" fontId="1" fillId="0" borderId="0" xfId="0" applyFont="1" applyAlignment="1">
      <alignment horizontal="center"/>
    </xf>
    <xf numFmtId="172" fontId="1" fillId="0" borderId="0" xfId="0" applyFont="1" applyAlignment="1" applyProtection="1" quotePrefix="1">
      <alignment horizontal="center"/>
      <protection/>
    </xf>
    <xf numFmtId="172" fontId="3" fillId="33" borderId="0" xfId="0" applyFont="1" applyFill="1" applyAlignment="1">
      <alignment horizontal="center"/>
    </xf>
    <xf numFmtId="172" fontId="3" fillId="34" borderId="0" xfId="0" applyFont="1" applyFill="1" applyAlignment="1" applyProtection="1" quotePrefix="1">
      <alignment horizontal="center"/>
      <protection/>
    </xf>
    <xf numFmtId="172" fontId="3" fillId="34" borderId="0" xfId="0" applyFont="1" applyFill="1" applyAlignment="1" applyProtection="1">
      <alignment horizontal="center"/>
      <protection/>
    </xf>
    <xf numFmtId="172" fontId="3" fillId="34" borderId="0" xfId="0" applyFont="1" applyFill="1" applyAlignment="1">
      <alignment horizontal="center"/>
    </xf>
    <xf numFmtId="182" fontId="1" fillId="0" borderId="0" xfId="57" applyNumberFormat="1" applyFont="1" applyAlignment="1" applyProtection="1">
      <alignment horizontal="fill"/>
      <protection/>
    </xf>
    <xf numFmtId="182" fontId="1" fillId="0" borderId="0" xfId="57" applyNumberFormat="1" applyFont="1" applyAlignment="1">
      <alignment/>
    </xf>
    <xf numFmtId="182" fontId="1" fillId="0" borderId="0" xfId="57" applyNumberFormat="1" applyFont="1" applyAlignment="1" applyProtection="1">
      <alignment horizontal="left"/>
      <protection/>
    </xf>
    <xf numFmtId="182" fontId="1" fillId="0" borderId="0" xfId="57" applyNumberFormat="1" applyFont="1" applyAlignment="1" applyProtection="1">
      <alignment horizontal="center"/>
      <protection/>
    </xf>
    <xf numFmtId="182" fontId="1" fillId="0" borderId="0" xfId="57" applyNumberFormat="1" applyFont="1" applyBorder="1" applyAlignment="1">
      <alignment/>
    </xf>
    <xf numFmtId="182" fontId="1" fillId="0" borderId="0" xfId="57" applyNumberFormat="1" applyFont="1" applyAlignment="1" applyProtection="1">
      <alignment/>
      <protection locked="0"/>
    </xf>
    <xf numFmtId="182" fontId="1" fillId="0" borderId="0" xfId="57" applyNumberFormat="1" applyFont="1" applyAlignment="1" applyProtection="1">
      <alignment horizontal="right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DA78"/>
  <sheetViews>
    <sheetView showGridLines="0" tabSelected="1" zoomScale="85" zoomScaleNormal="85" workbookViewId="0" topLeftCell="A1">
      <pane xSplit="1" topLeftCell="B1" activePane="topRight" state="frozen"/>
      <selection pane="topLeft" activeCell="A1" sqref="A1"/>
      <selection pane="topRight" activeCell="M49" sqref="M49"/>
    </sheetView>
  </sheetViews>
  <sheetFormatPr defaultColWidth="21.625" defaultRowHeight="12.75"/>
  <cols>
    <col min="1" max="1" width="11.625" style="45" bestFit="1" customWidth="1"/>
    <col min="2" max="2" width="15.625" style="6" customWidth="1"/>
    <col min="3" max="3" width="15.875" style="6" bestFit="1" customWidth="1"/>
    <col min="4" max="5" width="21.625" style="1" hidden="1" customWidth="1"/>
    <col min="6" max="6" width="14.00390625" style="1" hidden="1" customWidth="1"/>
    <col min="7" max="7" width="14.125" style="1" hidden="1" customWidth="1"/>
    <col min="8" max="8" width="15.00390625" style="52" bestFit="1" customWidth="1"/>
    <col min="9" max="9" width="14.00390625" style="52" bestFit="1" customWidth="1"/>
    <col min="10" max="10" width="11.875" style="1" bestFit="1" customWidth="1"/>
    <col min="11" max="11" width="12.50390625" style="1" customWidth="1"/>
    <col min="12" max="12" width="13.625" style="1" customWidth="1"/>
    <col min="13" max="13" width="17.50390625" style="1" customWidth="1"/>
    <col min="14" max="14" width="16.875" style="1" customWidth="1"/>
    <col min="15" max="16" width="18.125" style="1" bestFit="1" customWidth="1"/>
    <col min="17" max="17" width="13.625" style="1" customWidth="1"/>
    <col min="18" max="19" width="20.625" style="1" hidden="1" customWidth="1"/>
    <col min="20" max="20" width="18.125" style="1" customWidth="1"/>
    <col min="21" max="21" width="18.125" style="1" bestFit="1" customWidth="1"/>
    <col min="22" max="25" width="21.125" style="1" bestFit="1" customWidth="1"/>
    <col min="26" max="27" width="0" style="1" hidden="1" customWidth="1"/>
    <col min="28" max="28" width="22.125" style="1" bestFit="1" customWidth="1"/>
    <col min="29" max="29" width="23.125" style="1" bestFit="1" customWidth="1"/>
    <col min="30" max="31" width="0" style="1" hidden="1" customWidth="1"/>
    <col min="32" max="32" width="23.00390625" style="1" customWidth="1"/>
    <col min="33" max="33" width="21.625" style="1" customWidth="1"/>
    <col min="34" max="34" width="20.125" style="1" bestFit="1" customWidth="1"/>
    <col min="35" max="35" width="21.125" style="1" bestFit="1" customWidth="1"/>
    <col min="36" max="36" width="20.625" style="1" customWidth="1"/>
    <col min="37" max="37" width="0" style="1" hidden="1" customWidth="1"/>
    <col min="38" max="40" width="15.625" style="1" hidden="1" customWidth="1"/>
    <col min="41" max="43" width="0" style="1" hidden="1" customWidth="1"/>
    <col min="44" max="47" width="11.875" style="1" bestFit="1" customWidth="1"/>
    <col min="48" max="50" width="15.625" style="1" hidden="1" customWidth="1"/>
    <col min="51" max="53" width="0" style="1" hidden="1" customWidth="1"/>
    <col min="54" max="54" width="15.625" style="1" hidden="1" customWidth="1"/>
    <col min="55" max="55" width="9.625" style="11" customWidth="1"/>
    <col min="56" max="56" width="40.50390625" style="1" bestFit="1" customWidth="1"/>
    <col min="57" max="58" width="11.875" style="1" bestFit="1" customWidth="1"/>
    <col min="59" max="60" width="15.00390625" style="1" bestFit="1" customWidth="1"/>
    <col min="61" max="61" width="11.875" style="1" bestFit="1" customWidth="1"/>
    <col min="62" max="62" width="10.875" style="1" bestFit="1" customWidth="1"/>
    <col min="63" max="63" width="9.875" style="1" bestFit="1" customWidth="1"/>
    <col min="64" max="65" width="16.00390625" style="1" bestFit="1" customWidth="1"/>
    <col min="66" max="67" width="19.125" style="1" bestFit="1" customWidth="1"/>
    <col min="68" max="68" width="21.50390625" style="1" customWidth="1"/>
    <col min="69" max="69" width="0" style="1" hidden="1" customWidth="1"/>
    <col min="70" max="70" width="19.125" style="1" bestFit="1" customWidth="1"/>
    <col min="71" max="72" width="21.625" style="1" customWidth="1"/>
    <col min="73" max="75" width="23.125" style="1" bestFit="1" customWidth="1"/>
    <col min="76" max="76" width="23.625" style="1" customWidth="1"/>
    <col min="77" max="78" width="0" style="1" hidden="1" customWidth="1"/>
    <col min="79" max="80" width="23.625" style="1" customWidth="1"/>
    <col min="81" max="81" width="19.125" style="1" hidden="1" customWidth="1"/>
    <col min="82" max="82" width="0" style="1" hidden="1" customWidth="1"/>
    <col min="83" max="84" width="22.125" style="1" bestFit="1" customWidth="1"/>
    <col min="85" max="85" width="18.125" style="1" bestFit="1" customWidth="1"/>
    <col min="86" max="87" width="21.125" style="1" bestFit="1" customWidth="1"/>
    <col min="88" max="88" width="0" style="1" hidden="1" customWidth="1"/>
    <col min="89" max="91" width="15.625" style="1" hidden="1" customWidth="1"/>
    <col min="92" max="94" width="0" style="1" hidden="1" customWidth="1"/>
    <col min="95" max="97" width="11.875" style="1" bestFit="1" customWidth="1"/>
    <col min="98" max="98" width="15.625" style="1" customWidth="1"/>
    <col min="99" max="105" width="0" style="1" hidden="1" customWidth="1"/>
    <col min="106" max="16384" width="21.625" style="1" customWidth="1"/>
  </cols>
  <sheetData>
    <row r="1" spans="1:105" ht="12">
      <c r="A1" s="42">
        <f ca="1">NOW()</f>
        <v>42647.64545150463</v>
      </c>
      <c r="B1" s="5">
        <f ca="1">NOW()</f>
        <v>42647.64545150463</v>
      </c>
      <c r="F1" s="47" t="s">
        <v>195</v>
      </c>
      <c r="G1" s="47"/>
      <c r="H1" s="47"/>
      <c r="I1" s="47"/>
      <c r="J1" s="8"/>
      <c r="K1" s="49" t="s">
        <v>240</v>
      </c>
      <c r="L1" s="49"/>
      <c r="M1" s="49"/>
      <c r="N1" s="49"/>
      <c r="O1" s="49"/>
      <c r="P1" s="49"/>
      <c r="Q1" s="47" t="s">
        <v>241</v>
      </c>
      <c r="R1" s="47"/>
      <c r="S1" s="47"/>
      <c r="T1" s="47"/>
      <c r="U1" s="47"/>
      <c r="V1" s="50" t="s">
        <v>196</v>
      </c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47" t="s">
        <v>197</v>
      </c>
      <c r="AI1" s="47"/>
      <c r="AJ1" s="47"/>
      <c r="AL1" s="9" t="str">
        <f>A3</f>
        <v>______ MSA</v>
      </c>
      <c r="AN1" s="10"/>
      <c r="AR1" s="48" t="s">
        <v>200</v>
      </c>
      <c r="AS1" s="49"/>
      <c r="AT1" s="49"/>
      <c r="AU1" s="49"/>
      <c r="AV1" s="49"/>
      <c r="AW1" s="49"/>
      <c r="AX1" s="49"/>
      <c r="AY1" s="49"/>
      <c r="AZ1" s="49"/>
      <c r="BA1" s="49"/>
      <c r="BB1" s="49"/>
      <c r="BD1" s="12" t="s">
        <v>198</v>
      </c>
      <c r="BG1" s="9"/>
      <c r="BI1" s="50" t="s">
        <v>242</v>
      </c>
      <c r="BJ1" s="50"/>
      <c r="BK1" s="50"/>
      <c r="BL1" s="50"/>
      <c r="BM1" s="50"/>
      <c r="BN1" s="50"/>
      <c r="BO1" s="50"/>
      <c r="BP1" s="11"/>
      <c r="BQ1" s="11"/>
      <c r="BR1" s="11"/>
      <c r="BS1" s="7" t="s">
        <v>243</v>
      </c>
      <c r="BT1" s="13"/>
      <c r="BU1" s="50" t="s">
        <v>196</v>
      </c>
      <c r="BV1" s="50"/>
      <c r="BW1" s="50"/>
      <c r="BX1" s="50"/>
      <c r="BY1" s="50"/>
      <c r="BZ1" s="50"/>
      <c r="CA1" s="50"/>
      <c r="CB1" s="50"/>
      <c r="CC1" s="50"/>
      <c r="CD1" s="50"/>
      <c r="CE1" s="50"/>
      <c r="CF1" s="50"/>
      <c r="CG1" s="47" t="s">
        <v>199</v>
      </c>
      <c r="CH1" s="47"/>
      <c r="CI1" s="47"/>
      <c r="CL1" s="9"/>
      <c r="CQ1" s="48" t="s">
        <v>244</v>
      </c>
      <c r="CR1" s="49"/>
      <c r="CS1" s="49"/>
      <c r="CT1" s="49"/>
      <c r="CU1" s="49"/>
      <c r="CV1" s="49"/>
      <c r="CW1" s="49"/>
      <c r="CX1" s="49"/>
      <c r="CY1" s="49"/>
      <c r="CZ1" s="49"/>
      <c r="DA1" s="49"/>
    </row>
    <row r="2" spans="1:105" ht="12">
      <c r="A2" s="20" t="s">
        <v>0</v>
      </c>
      <c r="B2" s="15" t="s">
        <v>0</v>
      </c>
      <c r="C2" s="15" t="s">
        <v>0</v>
      </c>
      <c r="D2" s="14" t="s">
        <v>0</v>
      </c>
      <c r="E2" s="14" t="s">
        <v>0</v>
      </c>
      <c r="F2" s="14" t="s">
        <v>0</v>
      </c>
      <c r="G2" s="14" t="s">
        <v>0</v>
      </c>
      <c r="H2" s="51" t="s">
        <v>0</v>
      </c>
      <c r="I2" s="51" t="s">
        <v>0</v>
      </c>
      <c r="J2" s="14" t="s">
        <v>0</v>
      </c>
      <c r="K2" s="14" t="s">
        <v>0</v>
      </c>
      <c r="L2" s="14" t="s">
        <v>0</v>
      </c>
      <c r="M2" s="14" t="s">
        <v>0</v>
      </c>
      <c r="N2" s="14" t="s">
        <v>0</v>
      </c>
      <c r="O2" s="14" t="s">
        <v>0</v>
      </c>
      <c r="P2" s="14" t="s">
        <v>0</v>
      </c>
      <c r="Q2" s="14" t="s">
        <v>0</v>
      </c>
      <c r="R2" s="14" t="s">
        <v>0</v>
      </c>
      <c r="S2" s="14" t="s">
        <v>0</v>
      </c>
      <c r="T2" s="14" t="s">
        <v>0</v>
      </c>
      <c r="U2" s="14" t="s">
        <v>0</v>
      </c>
      <c r="V2" s="14" t="s">
        <v>0</v>
      </c>
      <c r="W2" s="14" t="s">
        <v>0</v>
      </c>
      <c r="X2" s="14" t="s">
        <v>0</v>
      </c>
      <c r="Y2" s="14" t="s">
        <v>0</v>
      </c>
      <c r="Z2" s="14" t="s">
        <v>0</v>
      </c>
      <c r="AA2" s="14" t="s">
        <v>0</v>
      </c>
      <c r="AB2" s="14" t="s">
        <v>0</v>
      </c>
      <c r="AC2" s="14" t="s">
        <v>0</v>
      </c>
      <c r="AD2" s="14" t="s">
        <v>0</v>
      </c>
      <c r="AE2" s="14" t="s">
        <v>0</v>
      </c>
      <c r="AF2" s="14" t="s">
        <v>0</v>
      </c>
      <c r="AG2" s="14" t="s">
        <v>0</v>
      </c>
      <c r="AH2" s="14" t="s">
        <v>0</v>
      </c>
      <c r="AI2" s="14" t="s">
        <v>0</v>
      </c>
      <c r="AJ2" s="14" t="s">
        <v>0</v>
      </c>
      <c r="AK2" s="14" t="s">
        <v>0</v>
      </c>
      <c r="AL2" s="14" t="s">
        <v>0</v>
      </c>
      <c r="AM2" s="14" t="s">
        <v>0</v>
      </c>
      <c r="AN2" s="14" t="s">
        <v>0</v>
      </c>
      <c r="AO2" s="14" t="s">
        <v>0</v>
      </c>
      <c r="AP2" s="14" t="s">
        <v>0</v>
      </c>
      <c r="AQ2" s="14" t="s">
        <v>0</v>
      </c>
      <c r="AR2" s="14" t="s">
        <v>0</v>
      </c>
      <c r="AS2" s="14" t="s">
        <v>0</v>
      </c>
      <c r="AT2" s="14" t="s">
        <v>0</v>
      </c>
      <c r="AU2" s="14" t="s">
        <v>0</v>
      </c>
      <c r="AV2" s="14" t="s">
        <v>0</v>
      </c>
      <c r="AW2" s="14" t="s">
        <v>0</v>
      </c>
      <c r="AX2" s="14" t="s">
        <v>0</v>
      </c>
      <c r="AY2" s="14" t="s">
        <v>0</v>
      </c>
      <c r="AZ2" s="14" t="s">
        <v>0</v>
      </c>
      <c r="BA2" s="14" t="s">
        <v>0</v>
      </c>
      <c r="BB2" s="14" t="s">
        <v>0</v>
      </c>
      <c r="BC2" s="16" t="s">
        <v>0</v>
      </c>
      <c r="BD2" s="14" t="s">
        <v>0</v>
      </c>
      <c r="BE2" s="14" t="s">
        <v>0</v>
      </c>
      <c r="BF2" s="14" t="s">
        <v>0</v>
      </c>
      <c r="BG2" s="14" t="s">
        <v>0</v>
      </c>
      <c r="BH2" s="14" t="s">
        <v>0</v>
      </c>
      <c r="BI2" s="14" t="s">
        <v>0</v>
      </c>
      <c r="BJ2" s="14" t="s">
        <v>0</v>
      </c>
      <c r="BK2" s="14" t="s">
        <v>0</v>
      </c>
      <c r="BL2" s="14" t="s">
        <v>0</v>
      </c>
      <c r="BM2" s="14" t="s">
        <v>0</v>
      </c>
      <c r="BN2" s="14" t="s">
        <v>0</v>
      </c>
      <c r="BO2" s="14" t="s">
        <v>0</v>
      </c>
      <c r="BP2" s="14" t="s">
        <v>0</v>
      </c>
      <c r="BQ2" s="14" t="s">
        <v>0</v>
      </c>
      <c r="BR2" s="14" t="s">
        <v>0</v>
      </c>
      <c r="BS2" s="14" t="s">
        <v>0</v>
      </c>
      <c r="BT2" s="14" t="s">
        <v>0</v>
      </c>
      <c r="BU2" s="14" t="s">
        <v>0</v>
      </c>
      <c r="BV2" s="14" t="s">
        <v>0</v>
      </c>
      <c r="BW2" s="14" t="s">
        <v>0</v>
      </c>
      <c r="BX2" s="14" t="s">
        <v>0</v>
      </c>
      <c r="BY2" s="14" t="s">
        <v>0</v>
      </c>
      <c r="BZ2" s="14" t="s">
        <v>0</v>
      </c>
      <c r="CA2" s="14" t="s">
        <v>0</v>
      </c>
      <c r="CB2" s="14" t="s">
        <v>0</v>
      </c>
      <c r="CC2" s="14" t="s">
        <v>0</v>
      </c>
      <c r="CD2" s="14" t="s">
        <v>0</v>
      </c>
      <c r="CE2" s="14" t="s">
        <v>0</v>
      </c>
      <c r="CF2" s="14" t="s">
        <v>0</v>
      </c>
      <c r="CG2" s="14" t="s">
        <v>0</v>
      </c>
      <c r="CH2" s="14" t="s">
        <v>0</v>
      </c>
      <c r="CI2" s="14" t="s">
        <v>0</v>
      </c>
      <c r="CJ2" s="14" t="s">
        <v>0</v>
      </c>
      <c r="CK2" s="14" t="s">
        <v>0</v>
      </c>
      <c r="CL2" s="14" t="s">
        <v>0</v>
      </c>
      <c r="CM2" s="14" t="s">
        <v>0</v>
      </c>
      <c r="CN2" s="14" t="s">
        <v>0</v>
      </c>
      <c r="CO2" s="14" t="s">
        <v>0</v>
      </c>
      <c r="CP2" s="14" t="s">
        <v>0</v>
      </c>
      <c r="CQ2" s="14" t="s">
        <v>0</v>
      </c>
      <c r="CR2" s="14" t="s">
        <v>0</v>
      </c>
      <c r="CS2" s="14" t="s">
        <v>0</v>
      </c>
      <c r="CT2" s="14" t="s">
        <v>0</v>
      </c>
      <c r="CU2" s="14" t="s">
        <v>0</v>
      </c>
      <c r="CV2" s="14" t="s">
        <v>0</v>
      </c>
      <c r="CW2" s="14" t="s">
        <v>0</v>
      </c>
      <c r="CX2" s="14" t="s">
        <v>0</v>
      </c>
      <c r="CY2" s="14" t="s">
        <v>0</v>
      </c>
      <c r="CZ2" s="14" t="s">
        <v>0</v>
      </c>
      <c r="DA2" s="14" t="s">
        <v>0</v>
      </c>
    </row>
    <row r="3" spans="1:87" ht="12">
      <c r="A3" s="17" t="s">
        <v>249</v>
      </c>
      <c r="B3" s="18">
        <v>2010</v>
      </c>
      <c r="D3" s="10"/>
      <c r="E3" s="19" t="s">
        <v>2</v>
      </c>
      <c r="J3" s="20" t="s">
        <v>2</v>
      </c>
      <c r="K3" s="21">
        <v>2000</v>
      </c>
      <c r="M3" s="20" t="s">
        <v>3</v>
      </c>
      <c r="N3" s="20" t="s">
        <v>3</v>
      </c>
      <c r="O3" s="20" t="s">
        <v>4</v>
      </c>
      <c r="P3" s="20" t="s">
        <v>4</v>
      </c>
      <c r="T3" s="20" t="s">
        <v>5</v>
      </c>
      <c r="U3" s="20" t="s">
        <v>5</v>
      </c>
      <c r="V3" s="20" t="s">
        <v>6</v>
      </c>
      <c r="W3" s="20" t="s">
        <v>7</v>
      </c>
      <c r="X3" s="20" t="s">
        <v>8</v>
      </c>
      <c r="Y3" s="20" t="s">
        <v>8</v>
      </c>
      <c r="Z3" s="20" t="s">
        <v>9</v>
      </c>
      <c r="AA3" s="20" t="s">
        <v>9</v>
      </c>
      <c r="AB3" s="20" t="s">
        <v>8</v>
      </c>
      <c r="AC3" s="20" t="s">
        <v>8</v>
      </c>
      <c r="AD3" s="20" t="s">
        <v>10</v>
      </c>
      <c r="AE3" s="20" t="s">
        <v>10</v>
      </c>
      <c r="AI3" s="20" t="s">
        <v>2</v>
      </c>
      <c r="AJ3" s="20" t="s">
        <v>2</v>
      </c>
      <c r="BA3" s="20" t="s">
        <v>11</v>
      </c>
      <c r="BC3" s="22" t="s">
        <v>12</v>
      </c>
      <c r="BD3" s="20" t="s">
        <v>13</v>
      </c>
      <c r="BF3" s="20" t="s">
        <v>2</v>
      </c>
      <c r="BG3" s="19" t="s">
        <v>2</v>
      </c>
      <c r="BH3" s="19" t="s">
        <v>2</v>
      </c>
      <c r="BI3" s="20" t="s">
        <v>2</v>
      </c>
      <c r="BL3" s="20" t="s">
        <v>3</v>
      </c>
      <c r="BM3" s="20" t="s">
        <v>3</v>
      </c>
      <c r="BN3" s="20" t="s">
        <v>4</v>
      </c>
      <c r="BO3" s="20" t="s">
        <v>4</v>
      </c>
      <c r="BS3" s="20" t="s">
        <v>5</v>
      </c>
      <c r="BT3" s="20" t="s">
        <v>5</v>
      </c>
      <c r="BU3" s="20" t="s">
        <v>6</v>
      </c>
      <c r="BV3" s="20" t="s">
        <v>7</v>
      </c>
      <c r="BW3" s="20" t="s">
        <v>8</v>
      </c>
      <c r="BX3" s="20" t="s">
        <v>8</v>
      </c>
      <c r="BY3" s="20" t="s">
        <v>9</v>
      </c>
      <c r="BZ3" s="20" t="s">
        <v>9</v>
      </c>
      <c r="CA3" s="20" t="s">
        <v>8</v>
      </c>
      <c r="CB3" s="20" t="s">
        <v>8</v>
      </c>
      <c r="CH3" s="20" t="s">
        <v>2</v>
      </c>
      <c r="CI3" s="20" t="s">
        <v>2</v>
      </c>
    </row>
    <row r="4" spans="1:104" ht="12">
      <c r="A4" s="20" t="s">
        <v>14</v>
      </c>
      <c r="B4" s="15" t="s">
        <v>14</v>
      </c>
      <c r="C4" s="15" t="s">
        <v>14</v>
      </c>
      <c r="F4" s="20" t="s">
        <v>15</v>
      </c>
      <c r="G4" s="20" t="s">
        <v>16</v>
      </c>
      <c r="H4" s="53" t="s">
        <v>17</v>
      </c>
      <c r="I4" s="53" t="s">
        <v>18</v>
      </c>
      <c r="J4" s="20" t="s">
        <v>19</v>
      </c>
      <c r="K4" s="20" t="s">
        <v>20</v>
      </c>
      <c r="L4" s="20" t="s">
        <v>20</v>
      </c>
      <c r="M4" s="20" t="s">
        <v>21</v>
      </c>
      <c r="N4" s="20" t="s">
        <v>22</v>
      </c>
      <c r="O4" s="20" t="s">
        <v>20</v>
      </c>
      <c r="P4" s="20" t="s">
        <v>20</v>
      </c>
      <c r="Q4" s="20" t="s">
        <v>19</v>
      </c>
      <c r="R4" s="20" t="s">
        <v>9</v>
      </c>
      <c r="S4" s="20" t="s">
        <v>9</v>
      </c>
      <c r="T4" s="20" t="s">
        <v>21</v>
      </c>
      <c r="U4" s="20" t="s">
        <v>22</v>
      </c>
      <c r="V4" s="20" t="s">
        <v>23</v>
      </c>
      <c r="W4" s="20" t="s">
        <v>23</v>
      </c>
      <c r="X4" s="20" t="s">
        <v>24</v>
      </c>
      <c r="Y4" s="20" t="s">
        <v>25</v>
      </c>
      <c r="Z4" s="20" t="s">
        <v>26</v>
      </c>
      <c r="AA4" s="20" t="s">
        <v>27</v>
      </c>
      <c r="AB4" s="20" t="s">
        <v>24</v>
      </c>
      <c r="AC4" s="20" t="s">
        <v>25</v>
      </c>
      <c r="AD4" s="20" t="s">
        <v>28</v>
      </c>
      <c r="AE4" s="20" t="s">
        <v>29</v>
      </c>
      <c r="AH4" s="20" t="s">
        <v>20</v>
      </c>
      <c r="AI4" s="20" t="s">
        <v>30</v>
      </c>
      <c r="AJ4" s="20" t="s">
        <v>30</v>
      </c>
      <c r="AO4" s="20" t="s">
        <v>31</v>
      </c>
      <c r="AP4" s="20" t="s">
        <v>31</v>
      </c>
      <c r="AQ4" s="20" t="s">
        <v>31</v>
      </c>
      <c r="AV4" s="20" t="s">
        <v>31</v>
      </c>
      <c r="AW4" s="20" t="s">
        <v>31</v>
      </c>
      <c r="AX4" s="20" t="s">
        <v>31</v>
      </c>
      <c r="AY4" s="20" t="s">
        <v>31</v>
      </c>
      <c r="AZ4" s="20" t="s">
        <v>31</v>
      </c>
      <c r="BA4" s="20" t="s">
        <v>31</v>
      </c>
      <c r="BC4" s="22" t="s">
        <v>12</v>
      </c>
      <c r="BD4" s="14" t="s">
        <v>14</v>
      </c>
      <c r="BE4" s="14" t="s">
        <v>14</v>
      </c>
      <c r="BF4" s="14" t="s">
        <v>14</v>
      </c>
      <c r="BG4" s="20" t="s">
        <v>31</v>
      </c>
      <c r="BH4" s="20" t="s">
        <v>31</v>
      </c>
      <c r="BI4" s="20" t="s">
        <v>19</v>
      </c>
      <c r="BJ4" s="20" t="s">
        <v>20</v>
      </c>
      <c r="BK4" s="20" t="s">
        <v>20</v>
      </c>
      <c r="BL4" s="20" t="s">
        <v>21</v>
      </c>
      <c r="BM4" s="20" t="s">
        <v>22</v>
      </c>
      <c r="BN4" s="20" t="s">
        <v>20</v>
      </c>
      <c r="BO4" s="20" t="s">
        <v>20</v>
      </c>
      <c r="BP4" s="20" t="s">
        <v>19</v>
      </c>
      <c r="BQ4" s="20" t="s">
        <v>9</v>
      </c>
      <c r="BR4" s="20" t="s">
        <v>9</v>
      </c>
      <c r="BS4" s="20" t="s">
        <v>21</v>
      </c>
      <c r="BT4" s="20" t="s">
        <v>22</v>
      </c>
      <c r="BU4" s="20" t="s">
        <v>23</v>
      </c>
      <c r="BV4" s="20" t="s">
        <v>23</v>
      </c>
      <c r="BW4" s="20" t="s">
        <v>24</v>
      </c>
      <c r="BX4" s="20" t="s">
        <v>25</v>
      </c>
      <c r="BY4" s="20" t="s">
        <v>26</v>
      </c>
      <c r="BZ4" s="20" t="s">
        <v>27</v>
      </c>
      <c r="CA4" s="20" t="s">
        <v>24</v>
      </c>
      <c r="CB4" s="20" t="s">
        <v>25</v>
      </c>
      <c r="CC4" s="20" t="s">
        <v>10</v>
      </c>
      <c r="CD4" s="20" t="s">
        <v>10</v>
      </c>
      <c r="CG4" s="20" t="s">
        <v>20</v>
      </c>
      <c r="CH4" s="20" t="s">
        <v>30</v>
      </c>
      <c r="CI4" s="20" t="s">
        <v>30</v>
      </c>
      <c r="CN4" s="20" t="s">
        <v>31</v>
      </c>
      <c r="CO4" s="20" t="s">
        <v>31</v>
      </c>
      <c r="CP4" s="20" t="s">
        <v>31</v>
      </c>
      <c r="CU4" s="20" t="s">
        <v>31</v>
      </c>
      <c r="CV4" s="20" t="s">
        <v>31</v>
      </c>
      <c r="CW4" s="20" t="s">
        <v>31</v>
      </c>
      <c r="CX4" s="20" t="s">
        <v>31</v>
      </c>
      <c r="CY4" s="20" t="s">
        <v>31</v>
      </c>
      <c r="CZ4" s="20" t="s">
        <v>31</v>
      </c>
    </row>
    <row r="5" spans="1:105" ht="12">
      <c r="A5" s="20" t="s">
        <v>33</v>
      </c>
      <c r="D5" s="20" t="s">
        <v>31</v>
      </c>
      <c r="E5" s="20" t="s">
        <v>31</v>
      </c>
      <c r="F5" s="20" t="s">
        <v>34</v>
      </c>
      <c r="G5" s="20" t="s">
        <v>34</v>
      </c>
      <c r="H5" s="53" t="s">
        <v>34</v>
      </c>
      <c r="I5" s="53" t="s">
        <v>34</v>
      </c>
      <c r="J5" s="20" t="s">
        <v>35</v>
      </c>
      <c r="K5" s="20" t="s">
        <v>36</v>
      </c>
      <c r="L5" s="20" t="s">
        <v>37</v>
      </c>
      <c r="M5" s="20" t="s">
        <v>38</v>
      </c>
      <c r="N5" s="20" t="s">
        <v>38</v>
      </c>
      <c r="O5" s="20" t="s">
        <v>28</v>
      </c>
      <c r="P5" s="20" t="s">
        <v>29</v>
      </c>
      <c r="Q5" s="20" t="s">
        <v>39</v>
      </c>
      <c r="R5" s="20" t="s">
        <v>40</v>
      </c>
      <c r="S5" s="20" t="s">
        <v>41</v>
      </c>
      <c r="T5" s="20" t="s">
        <v>38</v>
      </c>
      <c r="U5" s="20" t="s">
        <v>38</v>
      </c>
      <c r="V5" s="20" t="s">
        <v>42</v>
      </c>
      <c r="W5" s="20" t="s">
        <v>42</v>
      </c>
      <c r="X5" s="20" t="s">
        <v>43</v>
      </c>
      <c r="Y5" s="20" t="s">
        <v>43</v>
      </c>
      <c r="Z5" s="20" t="s">
        <v>44</v>
      </c>
      <c r="AA5" s="20" t="s">
        <v>44</v>
      </c>
      <c r="AB5" s="20" t="s">
        <v>43</v>
      </c>
      <c r="AC5" s="20" t="s">
        <v>43</v>
      </c>
      <c r="AD5" s="20" t="s">
        <v>45</v>
      </c>
      <c r="AE5" s="20" t="s">
        <v>45</v>
      </c>
      <c r="AF5" s="20" t="s">
        <v>46</v>
      </c>
      <c r="AG5" s="20" t="s">
        <v>46</v>
      </c>
      <c r="AH5" s="20" t="s">
        <v>47</v>
      </c>
      <c r="AI5" s="20" t="s">
        <v>48</v>
      </c>
      <c r="AJ5" s="20" t="s">
        <v>48</v>
      </c>
      <c r="AK5" s="20" t="s">
        <v>19</v>
      </c>
      <c r="AL5" s="20" t="s">
        <v>49</v>
      </c>
      <c r="AM5" s="20" t="s">
        <v>49</v>
      </c>
      <c r="AN5" s="20" t="s">
        <v>49</v>
      </c>
      <c r="AO5" s="20" t="s">
        <v>46</v>
      </c>
      <c r="AP5" s="20" t="s">
        <v>6</v>
      </c>
      <c r="AQ5" s="20" t="s">
        <v>7</v>
      </c>
      <c r="AR5" s="20" t="s">
        <v>19</v>
      </c>
      <c r="AS5" s="20" t="s">
        <v>49</v>
      </c>
      <c r="AT5" s="20" t="s">
        <v>49</v>
      </c>
      <c r="AU5" s="20" t="s">
        <v>49</v>
      </c>
      <c r="AV5" s="20" t="s">
        <v>46</v>
      </c>
      <c r="AW5" s="20" t="s">
        <v>6</v>
      </c>
      <c r="AX5" s="20" t="s">
        <v>7</v>
      </c>
      <c r="AY5" s="20" t="s">
        <v>50</v>
      </c>
      <c r="AZ5" s="20" t="s">
        <v>51</v>
      </c>
      <c r="BA5" s="20" t="s">
        <v>52</v>
      </c>
      <c r="BB5" s="20" t="s">
        <v>19</v>
      </c>
      <c r="BC5" s="22" t="s">
        <v>12</v>
      </c>
      <c r="BD5" s="20" t="s">
        <v>19</v>
      </c>
      <c r="BE5" s="20" t="s">
        <v>49</v>
      </c>
      <c r="BF5" s="20" t="s">
        <v>49</v>
      </c>
      <c r="BG5" s="20" t="s">
        <v>6</v>
      </c>
      <c r="BH5" s="20" t="s">
        <v>7</v>
      </c>
      <c r="BI5" s="20" t="s">
        <v>35</v>
      </c>
      <c r="BJ5" s="20" t="s">
        <v>36</v>
      </c>
      <c r="BK5" s="20" t="s">
        <v>37</v>
      </c>
      <c r="BL5" s="20" t="s">
        <v>38</v>
      </c>
      <c r="BM5" s="20" t="s">
        <v>38</v>
      </c>
      <c r="BN5" s="20" t="s">
        <v>28</v>
      </c>
      <c r="BO5" s="20" t="s">
        <v>29</v>
      </c>
      <c r="BP5" s="20" t="s">
        <v>39</v>
      </c>
      <c r="BQ5" s="20" t="s">
        <v>40</v>
      </c>
      <c r="BR5" s="20" t="s">
        <v>41</v>
      </c>
      <c r="BS5" s="20" t="s">
        <v>38</v>
      </c>
      <c r="BT5" s="20" t="s">
        <v>38</v>
      </c>
      <c r="BU5" s="20" t="s">
        <v>42</v>
      </c>
      <c r="BV5" s="20" t="s">
        <v>42</v>
      </c>
      <c r="BW5" s="20" t="s">
        <v>53</v>
      </c>
      <c r="BX5" s="20" t="s">
        <v>53</v>
      </c>
      <c r="BY5" s="20" t="s">
        <v>44</v>
      </c>
      <c r="BZ5" s="20" t="s">
        <v>44</v>
      </c>
      <c r="CA5" s="20" t="s">
        <v>53</v>
      </c>
      <c r="CB5" s="20" t="s">
        <v>53</v>
      </c>
      <c r="CC5" s="20" t="s">
        <v>28</v>
      </c>
      <c r="CD5" s="20" t="s">
        <v>29</v>
      </c>
      <c r="CE5" s="20" t="s">
        <v>46</v>
      </c>
      <c r="CF5" s="20" t="s">
        <v>46</v>
      </c>
      <c r="CG5" s="20" t="s">
        <v>47</v>
      </c>
      <c r="CH5" s="20" t="s">
        <v>48</v>
      </c>
      <c r="CI5" s="20" t="s">
        <v>48</v>
      </c>
      <c r="CJ5" s="20" t="s">
        <v>19</v>
      </c>
      <c r="CK5" s="20" t="s">
        <v>49</v>
      </c>
      <c r="CL5" s="20" t="s">
        <v>49</v>
      </c>
      <c r="CM5" s="20" t="s">
        <v>49</v>
      </c>
      <c r="CN5" s="20" t="s">
        <v>46</v>
      </c>
      <c r="CO5" s="20" t="s">
        <v>6</v>
      </c>
      <c r="CP5" s="20" t="s">
        <v>7</v>
      </c>
      <c r="CQ5" s="20" t="s">
        <v>19</v>
      </c>
      <c r="CR5" s="20" t="s">
        <v>49</v>
      </c>
      <c r="CS5" s="20" t="s">
        <v>49</v>
      </c>
      <c r="CT5" s="20" t="s">
        <v>49</v>
      </c>
      <c r="CU5" s="20" t="s">
        <v>46</v>
      </c>
      <c r="CV5" s="20" t="s">
        <v>6</v>
      </c>
      <c r="CW5" s="20" t="s">
        <v>7</v>
      </c>
      <c r="CX5" s="20" t="s">
        <v>54</v>
      </c>
      <c r="CY5" s="20" t="s">
        <v>55</v>
      </c>
      <c r="CZ5" s="20" t="s">
        <v>56</v>
      </c>
      <c r="DA5" s="20" t="s">
        <v>19</v>
      </c>
    </row>
    <row r="6" spans="1:105" ht="12">
      <c r="A6" s="20" t="s">
        <v>32</v>
      </c>
      <c r="B6" s="19" t="s">
        <v>20</v>
      </c>
      <c r="C6" s="19" t="s">
        <v>20</v>
      </c>
      <c r="D6" s="20" t="s">
        <v>6</v>
      </c>
      <c r="E6" s="20" t="s">
        <v>7</v>
      </c>
      <c r="F6" s="20" t="s">
        <v>57</v>
      </c>
      <c r="G6" s="20" t="s">
        <v>58</v>
      </c>
      <c r="H6" s="53" t="s">
        <v>57</v>
      </c>
      <c r="I6" s="53" t="s">
        <v>58</v>
      </c>
      <c r="J6" s="19" t="s">
        <v>59</v>
      </c>
      <c r="K6" s="20" t="s">
        <v>60</v>
      </c>
      <c r="L6" s="20" t="s">
        <v>60</v>
      </c>
      <c r="M6" s="20" t="s">
        <v>61</v>
      </c>
      <c r="N6" s="20" t="s">
        <v>61</v>
      </c>
      <c r="O6" s="20" t="s">
        <v>61</v>
      </c>
      <c r="P6" s="20" t="s">
        <v>61</v>
      </c>
      <c r="Q6" s="20" t="s">
        <v>62</v>
      </c>
      <c r="R6" s="20" t="s">
        <v>63</v>
      </c>
      <c r="S6" s="20" t="s">
        <v>63</v>
      </c>
      <c r="T6" s="20" t="s">
        <v>64</v>
      </c>
      <c r="U6" s="20" t="s">
        <v>64</v>
      </c>
      <c r="V6" s="20" t="s">
        <v>61</v>
      </c>
      <c r="W6" s="20" t="s">
        <v>61</v>
      </c>
      <c r="X6" s="20" t="s">
        <v>65</v>
      </c>
      <c r="Y6" s="20" t="s">
        <v>65</v>
      </c>
      <c r="Z6" s="20" t="s">
        <v>66</v>
      </c>
      <c r="AA6" s="20" t="s">
        <v>66</v>
      </c>
      <c r="AB6" s="20" t="s">
        <v>67</v>
      </c>
      <c r="AC6" s="20" t="s">
        <v>67</v>
      </c>
      <c r="AD6" s="20" t="s">
        <v>68</v>
      </c>
      <c r="AE6" s="20" t="s">
        <v>68</v>
      </c>
      <c r="AF6" s="20" t="s">
        <v>28</v>
      </c>
      <c r="AG6" s="20" t="s">
        <v>29</v>
      </c>
      <c r="AH6" s="20" t="s">
        <v>69</v>
      </c>
      <c r="AI6" s="20" t="s">
        <v>70</v>
      </c>
      <c r="AJ6" s="20" t="s">
        <v>71</v>
      </c>
      <c r="AK6" s="20" t="s">
        <v>39</v>
      </c>
      <c r="AL6" s="20" t="s">
        <v>46</v>
      </c>
      <c r="AM6" s="20" t="s">
        <v>20</v>
      </c>
      <c r="AN6" s="20" t="s">
        <v>20</v>
      </c>
      <c r="AO6" s="20" t="s">
        <v>72</v>
      </c>
      <c r="AP6" s="20" t="s">
        <v>72</v>
      </c>
      <c r="AQ6" s="20" t="s">
        <v>72</v>
      </c>
      <c r="AR6" s="20" t="s">
        <v>39</v>
      </c>
      <c r="AS6" s="20" t="s">
        <v>46</v>
      </c>
      <c r="AT6" s="20" t="s">
        <v>20</v>
      </c>
      <c r="AU6" s="20" t="s">
        <v>20</v>
      </c>
      <c r="AV6" s="20" t="s">
        <v>72</v>
      </c>
      <c r="AW6" s="20" t="s">
        <v>72</v>
      </c>
      <c r="AX6" s="20" t="s">
        <v>72</v>
      </c>
      <c r="AY6" s="20" t="s">
        <v>72</v>
      </c>
      <c r="AZ6" s="20" t="s">
        <v>72</v>
      </c>
      <c r="BA6" s="20" t="s">
        <v>72</v>
      </c>
      <c r="BB6" s="20" t="s">
        <v>39</v>
      </c>
      <c r="BC6" s="22" t="s">
        <v>12</v>
      </c>
      <c r="BD6" s="20" t="s">
        <v>39</v>
      </c>
      <c r="BE6" s="20" t="s">
        <v>20</v>
      </c>
      <c r="BF6" s="20" t="s">
        <v>20</v>
      </c>
      <c r="BG6" s="20" t="s">
        <v>72</v>
      </c>
      <c r="BH6" s="20" t="s">
        <v>72</v>
      </c>
      <c r="BI6" s="20" t="s">
        <v>73</v>
      </c>
      <c r="BJ6" s="20" t="s">
        <v>60</v>
      </c>
      <c r="BK6" s="20" t="s">
        <v>60</v>
      </c>
      <c r="BL6" s="20" t="s">
        <v>74</v>
      </c>
      <c r="BM6" s="20" t="s">
        <v>74</v>
      </c>
      <c r="BN6" s="20" t="s">
        <v>74</v>
      </c>
      <c r="BO6" s="20" t="s">
        <v>74</v>
      </c>
      <c r="BP6" s="20" t="s">
        <v>75</v>
      </c>
      <c r="BQ6" s="20" t="s">
        <v>76</v>
      </c>
      <c r="BR6" s="20" t="s">
        <v>76</v>
      </c>
      <c r="BS6" s="20" t="s">
        <v>77</v>
      </c>
      <c r="BT6" s="20" t="s">
        <v>77</v>
      </c>
      <c r="BU6" s="20" t="s">
        <v>74</v>
      </c>
      <c r="BV6" s="20" t="s">
        <v>74</v>
      </c>
      <c r="BW6" s="20" t="s">
        <v>65</v>
      </c>
      <c r="BX6" s="20" t="s">
        <v>65</v>
      </c>
      <c r="BY6" s="20" t="s">
        <v>78</v>
      </c>
      <c r="BZ6" s="20" t="s">
        <v>78</v>
      </c>
      <c r="CA6" s="20" t="s">
        <v>67</v>
      </c>
      <c r="CB6" s="20" t="s">
        <v>67</v>
      </c>
      <c r="CC6" s="20" t="s">
        <v>79</v>
      </c>
      <c r="CD6" s="20" t="s">
        <v>79</v>
      </c>
      <c r="CE6" s="20" t="s">
        <v>28</v>
      </c>
      <c r="CF6" s="20" t="s">
        <v>29</v>
      </c>
      <c r="CG6" s="20" t="s">
        <v>69</v>
      </c>
      <c r="CH6" s="20" t="s">
        <v>70</v>
      </c>
      <c r="CI6" s="20" t="s">
        <v>71</v>
      </c>
      <c r="CJ6" s="20" t="s">
        <v>39</v>
      </c>
      <c r="CK6" s="20" t="s">
        <v>46</v>
      </c>
      <c r="CL6" s="20" t="s">
        <v>20</v>
      </c>
      <c r="CM6" s="20" t="s">
        <v>20</v>
      </c>
      <c r="CN6" s="20" t="s">
        <v>72</v>
      </c>
      <c r="CO6" s="20" t="s">
        <v>72</v>
      </c>
      <c r="CP6" s="20" t="s">
        <v>72</v>
      </c>
      <c r="CQ6" s="20" t="s">
        <v>39</v>
      </c>
      <c r="CR6" s="20" t="s">
        <v>46</v>
      </c>
      <c r="CS6" s="20" t="s">
        <v>20</v>
      </c>
      <c r="CT6" s="20" t="s">
        <v>20</v>
      </c>
      <c r="CU6" s="20" t="s">
        <v>72</v>
      </c>
      <c r="CV6" s="20" t="s">
        <v>72</v>
      </c>
      <c r="CW6" s="20" t="s">
        <v>72</v>
      </c>
      <c r="CX6" s="20" t="s">
        <v>72</v>
      </c>
      <c r="CY6" s="20" t="s">
        <v>72</v>
      </c>
      <c r="CZ6" s="20" t="s">
        <v>72</v>
      </c>
      <c r="DA6" s="20" t="s">
        <v>39</v>
      </c>
    </row>
    <row r="7" spans="1:105" ht="12">
      <c r="A7" s="20" t="s">
        <v>80</v>
      </c>
      <c r="B7" s="19" t="s">
        <v>36</v>
      </c>
      <c r="C7" s="19" t="s">
        <v>37</v>
      </c>
      <c r="D7" s="20" t="s">
        <v>72</v>
      </c>
      <c r="E7" s="20" t="s">
        <v>72</v>
      </c>
      <c r="F7" s="20" t="s">
        <v>81</v>
      </c>
      <c r="G7" s="20" t="s">
        <v>82</v>
      </c>
      <c r="H7" s="53" t="s">
        <v>81</v>
      </c>
      <c r="I7" s="53" t="s">
        <v>82</v>
      </c>
      <c r="J7" s="20" t="s">
        <v>83</v>
      </c>
      <c r="K7" s="20" t="s">
        <v>84</v>
      </c>
      <c r="L7" s="20" t="s">
        <v>84</v>
      </c>
      <c r="M7" s="20" t="s">
        <v>59</v>
      </c>
      <c r="N7" s="20" t="s">
        <v>59</v>
      </c>
      <c r="O7" s="20" t="s">
        <v>59</v>
      </c>
      <c r="P7" s="20" t="s">
        <v>59</v>
      </c>
      <c r="Q7" s="20" t="s">
        <v>59</v>
      </c>
      <c r="R7" s="20" t="s">
        <v>59</v>
      </c>
      <c r="S7" s="20" t="s">
        <v>59</v>
      </c>
      <c r="T7" s="20" t="s">
        <v>59</v>
      </c>
      <c r="U7" s="20" t="s">
        <v>59</v>
      </c>
      <c r="V7" s="20" t="s">
        <v>59</v>
      </c>
      <c r="W7" s="20" t="s">
        <v>59</v>
      </c>
      <c r="X7" s="20" t="s">
        <v>85</v>
      </c>
      <c r="Y7" s="20" t="s">
        <v>85</v>
      </c>
      <c r="Z7" s="20" t="s">
        <v>86</v>
      </c>
      <c r="AA7" s="20" t="s">
        <v>86</v>
      </c>
      <c r="AB7" s="20" t="s">
        <v>87</v>
      </c>
      <c r="AC7" s="20" t="s">
        <v>87</v>
      </c>
      <c r="AD7" s="20" t="s">
        <v>88</v>
      </c>
      <c r="AE7" s="20" t="s">
        <v>88</v>
      </c>
      <c r="AF7" s="20" t="s">
        <v>89</v>
      </c>
      <c r="AG7" s="20" t="s">
        <v>89</v>
      </c>
      <c r="AH7" s="20" t="s">
        <v>90</v>
      </c>
      <c r="AK7" s="20" t="s">
        <v>91</v>
      </c>
      <c r="AL7" s="20" t="s">
        <v>92</v>
      </c>
      <c r="AM7" s="20" t="s">
        <v>47</v>
      </c>
      <c r="AN7" s="20" t="s">
        <v>93</v>
      </c>
      <c r="AO7" s="20" t="s">
        <v>94</v>
      </c>
      <c r="AP7" s="20" t="s">
        <v>94</v>
      </c>
      <c r="AQ7" s="20" t="s">
        <v>94</v>
      </c>
      <c r="AR7" s="20" t="s">
        <v>95</v>
      </c>
      <c r="AS7" s="20" t="s">
        <v>92</v>
      </c>
      <c r="AT7" s="20" t="s">
        <v>47</v>
      </c>
      <c r="AU7" s="20" t="s">
        <v>93</v>
      </c>
      <c r="AV7" s="20" t="s">
        <v>94</v>
      </c>
      <c r="AW7" s="20" t="s">
        <v>94</v>
      </c>
      <c r="AX7" s="20" t="s">
        <v>94</v>
      </c>
      <c r="AY7" s="20" t="s">
        <v>94</v>
      </c>
      <c r="AZ7" s="20" t="s">
        <v>94</v>
      </c>
      <c r="BA7" s="20" t="s">
        <v>94</v>
      </c>
      <c r="BB7" s="20" t="s">
        <v>95</v>
      </c>
      <c r="BC7" s="22" t="s">
        <v>12</v>
      </c>
      <c r="BD7" s="20" t="s">
        <v>95</v>
      </c>
      <c r="BE7" s="20" t="s">
        <v>47</v>
      </c>
      <c r="BF7" s="20" t="s">
        <v>93</v>
      </c>
      <c r="BG7" s="20" t="s">
        <v>94</v>
      </c>
      <c r="BH7" s="20" t="s">
        <v>94</v>
      </c>
      <c r="BI7" s="20" t="s">
        <v>96</v>
      </c>
      <c r="BJ7" s="20" t="s">
        <v>97</v>
      </c>
      <c r="BK7" s="20" t="s">
        <v>97</v>
      </c>
      <c r="BL7" s="20" t="s">
        <v>59</v>
      </c>
      <c r="BM7" s="20" t="s">
        <v>59</v>
      </c>
      <c r="BN7" s="20" t="s">
        <v>59</v>
      </c>
      <c r="BO7" s="20" t="s">
        <v>59</v>
      </c>
      <c r="BP7" s="20" t="s">
        <v>59</v>
      </c>
      <c r="BQ7" s="20" t="s">
        <v>59</v>
      </c>
      <c r="BR7" s="20" t="s">
        <v>59</v>
      </c>
      <c r="BS7" s="20" t="s">
        <v>59</v>
      </c>
      <c r="BT7" s="20" t="s">
        <v>59</v>
      </c>
      <c r="BU7" s="20" t="s">
        <v>59</v>
      </c>
      <c r="BV7" s="20" t="s">
        <v>59</v>
      </c>
      <c r="BW7" s="20" t="s">
        <v>85</v>
      </c>
      <c r="BX7" s="20" t="s">
        <v>85</v>
      </c>
      <c r="BY7" s="20" t="s">
        <v>86</v>
      </c>
      <c r="BZ7" s="20" t="s">
        <v>86</v>
      </c>
      <c r="CA7" s="20" t="s">
        <v>87</v>
      </c>
      <c r="CB7" s="20" t="s">
        <v>87</v>
      </c>
      <c r="CC7" s="20" t="s">
        <v>68</v>
      </c>
      <c r="CD7" s="20" t="s">
        <v>68</v>
      </c>
      <c r="CE7" s="20" t="s">
        <v>98</v>
      </c>
      <c r="CF7" s="20" t="s">
        <v>98</v>
      </c>
      <c r="CG7" s="20" t="s">
        <v>90</v>
      </c>
      <c r="CJ7" s="20" t="s">
        <v>99</v>
      </c>
      <c r="CK7" s="20" t="s">
        <v>92</v>
      </c>
      <c r="CL7" s="20" t="s">
        <v>47</v>
      </c>
      <c r="CM7" s="20" t="s">
        <v>93</v>
      </c>
      <c r="CN7" s="20" t="s">
        <v>94</v>
      </c>
      <c r="CO7" s="20" t="s">
        <v>94</v>
      </c>
      <c r="CP7" s="20" t="s">
        <v>94</v>
      </c>
      <c r="CQ7" s="20" t="s">
        <v>100</v>
      </c>
      <c r="CR7" s="20" t="s">
        <v>92</v>
      </c>
      <c r="CS7" s="20" t="s">
        <v>47</v>
      </c>
      <c r="CT7" s="20" t="s">
        <v>93</v>
      </c>
      <c r="CU7" s="20" t="s">
        <v>94</v>
      </c>
      <c r="CV7" s="20" t="s">
        <v>94</v>
      </c>
      <c r="CW7" s="20" t="s">
        <v>94</v>
      </c>
      <c r="CX7" s="20" t="s">
        <v>94</v>
      </c>
      <c r="CY7" s="20" t="s">
        <v>94</v>
      </c>
      <c r="CZ7" s="20" t="s">
        <v>94</v>
      </c>
      <c r="DA7" s="20" t="s">
        <v>100</v>
      </c>
    </row>
    <row r="8" spans="1:105" ht="12">
      <c r="A8" s="20" t="s">
        <v>101</v>
      </c>
      <c r="B8" s="19" t="s">
        <v>94</v>
      </c>
      <c r="C8" s="19" t="s">
        <v>94</v>
      </c>
      <c r="D8" s="20" t="s">
        <v>94</v>
      </c>
      <c r="E8" s="20" t="s">
        <v>94</v>
      </c>
      <c r="F8" s="20" t="s">
        <v>102</v>
      </c>
      <c r="G8" s="20" t="s">
        <v>102</v>
      </c>
      <c r="H8" s="53" t="s">
        <v>103</v>
      </c>
      <c r="I8" s="53" t="s">
        <v>103</v>
      </c>
      <c r="J8" s="20" t="s">
        <v>104</v>
      </c>
      <c r="K8" s="20" t="s">
        <v>105</v>
      </c>
      <c r="L8" s="20" t="s">
        <v>105</v>
      </c>
      <c r="M8" s="20" t="s">
        <v>106</v>
      </c>
      <c r="N8" s="20" t="s">
        <v>107</v>
      </c>
      <c r="O8" s="20" t="s">
        <v>222</v>
      </c>
      <c r="P8" s="20" t="s">
        <v>108</v>
      </c>
      <c r="Q8" s="20" t="s">
        <v>109</v>
      </c>
      <c r="R8" s="20" t="s">
        <v>110</v>
      </c>
      <c r="S8" s="20" t="s">
        <v>110</v>
      </c>
      <c r="T8" s="20" t="s">
        <v>111</v>
      </c>
      <c r="U8" s="20" t="s">
        <v>112</v>
      </c>
      <c r="V8" s="20" t="s">
        <v>223</v>
      </c>
      <c r="W8" s="20" t="s">
        <v>224</v>
      </c>
      <c r="X8" s="20" t="s">
        <v>225</v>
      </c>
      <c r="Y8" s="20" t="s">
        <v>226</v>
      </c>
      <c r="Z8" s="20" t="s">
        <v>113</v>
      </c>
      <c r="AA8" s="20" t="s">
        <v>114</v>
      </c>
      <c r="AB8" s="20" t="s">
        <v>227</v>
      </c>
      <c r="AC8" s="20" t="s">
        <v>228</v>
      </c>
      <c r="AD8" s="20" t="s">
        <v>115</v>
      </c>
      <c r="AE8" s="20" t="s">
        <v>115</v>
      </c>
      <c r="AF8" s="43" t="s">
        <v>235</v>
      </c>
      <c r="AG8" s="43" t="s">
        <v>236</v>
      </c>
      <c r="AH8" s="20" t="s">
        <v>116</v>
      </c>
      <c r="AI8" s="20" t="s">
        <v>117</v>
      </c>
      <c r="AJ8" s="20" t="s">
        <v>118</v>
      </c>
      <c r="AK8" s="20" t="s">
        <v>109</v>
      </c>
      <c r="AL8" s="20" t="s">
        <v>91</v>
      </c>
      <c r="AM8" s="20" t="s">
        <v>91</v>
      </c>
      <c r="AN8" s="20" t="s">
        <v>91</v>
      </c>
      <c r="AO8" s="20" t="s">
        <v>91</v>
      </c>
      <c r="AP8" s="20" t="s">
        <v>91</v>
      </c>
      <c r="AQ8" s="20" t="s">
        <v>91</v>
      </c>
      <c r="AR8" s="20" t="s">
        <v>109</v>
      </c>
      <c r="AS8" s="20" t="s">
        <v>95</v>
      </c>
      <c r="AT8" s="20" t="s">
        <v>95</v>
      </c>
      <c r="AU8" s="20" t="s">
        <v>95</v>
      </c>
      <c r="AV8" s="20" t="s">
        <v>95</v>
      </c>
      <c r="AW8" s="20" t="s">
        <v>95</v>
      </c>
      <c r="AX8" s="20" t="s">
        <v>95</v>
      </c>
      <c r="AZ8" s="20" t="s">
        <v>119</v>
      </c>
      <c r="BA8" s="20" t="s">
        <v>120</v>
      </c>
      <c r="BB8" s="20" t="s">
        <v>109</v>
      </c>
      <c r="BC8" s="22" t="s">
        <v>12</v>
      </c>
      <c r="BD8" s="20" t="s">
        <v>101</v>
      </c>
      <c r="BE8" s="20" t="s">
        <v>95</v>
      </c>
      <c r="BF8" s="20" t="s">
        <v>95</v>
      </c>
      <c r="BG8" s="20" t="s">
        <v>95</v>
      </c>
      <c r="BH8" s="20" t="s">
        <v>95</v>
      </c>
      <c r="BI8" s="20" t="s">
        <v>104</v>
      </c>
      <c r="BJ8" s="20" t="s">
        <v>121</v>
      </c>
      <c r="BK8" s="20" t="s">
        <v>121</v>
      </c>
      <c r="BL8" s="20" t="s">
        <v>106</v>
      </c>
      <c r="BM8" s="20" t="s">
        <v>107</v>
      </c>
      <c r="BN8" s="20" t="s">
        <v>122</v>
      </c>
      <c r="BO8" s="20" t="s">
        <v>123</v>
      </c>
      <c r="BP8" s="20" t="s">
        <v>109</v>
      </c>
      <c r="BQ8" s="20" t="s">
        <v>110</v>
      </c>
      <c r="BR8" s="20" t="s">
        <v>110</v>
      </c>
      <c r="BS8" s="20" t="s">
        <v>111</v>
      </c>
      <c r="BT8" s="20" t="s">
        <v>112</v>
      </c>
      <c r="BU8" s="20" t="s">
        <v>229</v>
      </c>
      <c r="BV8" s="20" t="s">
        <v>230</v>
      </c>
      <c r="BW8" s="20" t="s">
        <v>231</v>
      </c>
      <c r="BX8" s="20" t="s">
        <v>232</v>
      </c>
      <c r="BY8" s="20" t="s">
        <v>113</v>
      </c>
      <c r="BZ8" s="20" t="s">
        <v>114</v>
      </c>
      <c r="CA8" s="20" t="s">
        <v>233</v>
      </c>
      <c r="CB8" s="20" t="s">
        <v>234</v>
      </c>
      <c r="CC8" s="20" t="s">
        <v>88</v>
      </c>
      <c r="CD8" s="20" t="s">
        <v>88</v>
      </c>
      <c r="CE8" s="43" t="s">
        <v>237</v>
      </c>
      <c r="CF8" s="43" t="s">
        <v>238</v>
      </c>
      <c r="CG8" s="20" t="s">
        <v>116</v>
      </c>
      <c r="CH8" s="20" t="s">
        <v>117</v>
      </c>
      <c r="CI8" s="20" t="s">
        <v>118</v>
      </c>
      <c r="CJ8" s="20" t="s">
        <v>109</v>
      </c>
      <c r="CK8" s="20" t="s">
        <v>99</v>
      </c>
      <c r="CL8" s="20" t="s">
        <v>99</v>
      </c>
      <c r="CM8" s="20" t="s">
        <v>99</v>
      </c>
      <c r="CN8" s="20" t="s">
        <v>99</v>
      </c>
      <c r="CO8" s="20" t="s">
        <v>99</v>
      </c>
      <c r="CP8" s="20" t="s">
        <v>99</v>
      </c>
      <c r="CQ8" s="20" t="s">
        <v>109</v>
      </c>
      <c r="CR8" s="20" t="s">
        <v>100</v>
      </c>
      <c r="CS8" s="20" t="s">
        <v>100</v>
      </c>
      <c r="CT8" s="20" t="s">
        <v>100</v>
      </c>
      <c r="CU8" s="20" t="s">
        <v>100</v>
      </c>
      <c r="CV8" s="20" t="s">
        <v>100</v>
      </c>
      <c r="CW8" s="20" t="s">
        <v>100</v>
      </c>
      <c r="CY8" s="20" t="s">
        <v>124</v>
      </c>
      <c r="CZ8" s="20" t="s">
        <v>125</v>
      </c>
      <c r="DA8" s="20" t="s">
        <v>109</v>
      </c>
    </row>
    <row r="9" spans="1:105" ht="12">
      <c r="A9" s="23"/>
      <c r="B9" s="15" t="s">
        <v>14</v>
      </c>
      <c r="C9" s="15" t="s">
        <v>14</v>
      </c>
      <c r="D9" s="14" t="s">
        <v>14</v>
      </c>
      <c r="E9" s="14" t="s">
        <v>14</v>
      </c>
      <c r="F9" s="14" t="s">
        <v>14</v>
      </c>
      <c r="G9" s="14" t="s">
        <v>14</v>
      </c>
      <c r="H9" s="51" t="s">
        <v>14</v>
      </c>
      <c r="I9" s="51" t="s">
        <v>14</v>
      </c>
      <c r="J9" s="14" t="s">
        <v>14</v>
      </c>
      <c r="K9" s="14" t="s">
        <v>14</v>
      </c>
      <c r="L9" s="14" t="s">
        <v>14</v>
      </c>
      <c r="M9" s="14" t="s">
        <v>14</v>
      </c>
      <c r="N9" s="14" t="s">
        <v>14</v>
      </c>
      <c r="O9" s="14" t="s">
        <v>14</v>
      </c>
      <c r="P9" s="14" t="s">
        <v>14</v>
      </c>
      <c r="Q9" s="14" t="s">
        <v>14</v>
      </c>
      <c r="R9" s="14" t="s">
        <v>14</v>
      </c>
      <c r="S9" s="14" t="s">
        <v>14</v>
      </c>
      <c r="T9" s="14" t="s">
        <v>14</v>
      </c>
      <c r="U9" s="14" t="s">
        <v>14</v>
      </c>
      <c r="V9" s="14" t="s">
        <v>14</v>
      </c>
      <c r="W9" s="14" t="s">
        <v>14</v>
      </c>
      <c r="X9" s="14" t="s">
        <v>14</v>
      </c>
      <c r="Y9" s="14" t="s">
        <v>14</v>
      </c>
      <c r="Z9" s="14" t="s">
        <v>14</v>
      </c>
      <c r="AA9" s="14" t="s">
        <v>14</v>
      </c>
      <c r="AB9" s="14" t="s">
        <v>14</v>
      </c>
      <c r="AC9" s="14" t="s">
        <v>14</v>
      </c>
      <c r="AD9" s="14" t="s">
        <v>14</v>
      </c>
      <c r="AE9" s="14" t="s">
        <v>14</v>
      </c>
      <c r="AF9" s="14" t="s">
        <v>14</v>
      </c>
      <c r="AG9" s="14" t="s">
        <v>14</v>
      </c>
      <c r="AH9" s="14" t="s">
        <v>14</v>
      </c>
      <c r="AI9" s="14" t="s">
        <v>14</v>
      </c>
      <c r="AJ9" s="14" t="s">
        <v>14</v>
      </c>
      <c r="AK9" s="14" t="s">
        <v>14</v>
      </c>
      <c r="AL9" s="14" t="s">
        <v>14</v>
      </c>
      <c r="AM9" s="14" t="s">
        <v>14</v>
      </c>
      <c r="AN9" s="14" t="s">
        <v>14</v>
      </c>
      <c r="AO9" s="14" t="s">
        <v>14</v>
      </c>
      <c r="AP9" s="14" t="s">
        <v>14</v>
      </c>
      <c r="AQ9" s="14" t="s">
        <v>14</v>
      </c>
      <c r="AR9" s="14" t="s">
        <v>14</v>
      </c>
      <c r="AS9" s="14" t="s">
        <v>14</v>
      </c>
      <c r="AT9" s="14" t="s">
        <v>14</v>
      </c>
      <c r="AU9" s="14" t="s">
        <v>14</v>
      </c>
      <c r="AV9" s="14" t="s">
        <v>14</v>
      </c>
      <c r="AW9" s="14" t="s">
        <v>14</v>
      </c>
      <c r="AX9" s="14" t="s">
        <v>14</v>
      </c>
      <c r="AY9" s="14" t="s">
        <v>14</v>
      </c>
      <c r="AZ9" s="14" t="s">
        <v>14</v>
      </c>
      <c r="BA9" s="14" t="s">
        <v>14</v>
      </c>
      <c r="BB9" s="14" t="s">
        <v>14</v>
      </c>
      <c r="BC9" s="22" t="s">
        <v>12</v>
      </c>
      <c r="BD9" s="14" t="s">
        <v>14</v>
      </c>
      <c r="BE9" s="14" t="s">
        <v>14</v>
      </c>
      <c r="BF9" s="14" t="s">
        <v>14</v>
      </c>
      <c r="BG9" s="14" t="s">
        <v>14</v>
      </c>
      <c r="BH9" s="14" t="s">
        <v>14</v>
      </c>
      <c r="BI9" s="14" t="s">
        <v>14</v>
      </c>
      <c r="BJ9" s="14" t="s">
        <v>14</v>
      </c>
      <c r="BK9" s="14" t="s">
        <v>14</v>
      </c>
      <c r="BL9" s="14" t="s">
        <v>14</v>
      </c>
      <c r="BM9" s="14" t="s">
        <v>14</v>
      </c>
      <c r="BN9" s="14" t="s">
        <v>14</v>
      </c>
      <c r="BO9" s="14" t="s">
        <v>14</v>
      </c>
      <c r="BP9" s="14" t="s">
        <v>14</v>
      </c>
      <c r="BQ9" s="14" t="s">
        <v>14</v>
      </c>
      <c r="BR9" s="14" t="s">
        <v>14</v>
      </c>
      <c r="BS9" s="14" t="s">
        <v>14</v>
      </c>
      <c r="BT9" s="14" t="s">
        <v>14</v>
      </c>
      <c r="BU9" s="14" t="s">
        <v>14</v>
      </c>
      <c r="BV9" s="14" t="s">
        <v>14</v>
      </c>
      <c r="BW9" s="14" t="s">
        <v>14</v>
      </c>
      <c r="BX9" s="14" t="s">
        <v>14</v>
      </c>
      <c r="BY9" s="14" t="s">
        <v>14</v>
      </c>
      <c r="BZ9" s="14" t="s">
        <v>14</v>
      </c>
      <c r="CA9" s="14" t="s">
        <v>14</v>
      </c>
      <c r="CB9" s="14" t="s">
        <v>14</v>
      </c>
      <c r="CC9" s="14" t="s">
        <v>14</v>
      </c>
      <c r="CD9" s="14" t="s">
        <v>14</v>
      </c>
      <c r="CE9" s="14" t="s">
        <v>14</v>
      </c>
      <c r="CF9" s="14" t="s">
        <v>14</v>
      </c>
      <c r="CG9" s="14" t="s">
        <v>14</v>
      </c>
      <c r="CH9" s="14" t="s">
        <v>14</v>
      </c>
      <c r="CI9" s="14" t="s">
        <v>14</v>
      </c>
      <c r="CJ9" s="14" t="s">
        <v>14</v>
      </c>
      <c r="CK9" s="14" t="s">
        <v>14</v>
      </c>
      <c r="CL9" s="14" t="s">
        <v>14</v>
      </c>
      <c r="CM9" s="14" t="s">
        <v>14</v>
      </c>
      <c r="CN9" s="14" t="s">
        <v>14</v>
      </c>
      <c r="CO9" s="14" t="s">
        <v>14</v>
      </c>
      <c r="CP9" s="14" t="s">
        <v>14</v>
      </c>
      <c r="CQ9" s="14" t="s">
        <v>14</v>
      </c>
      <c r="CR9" s="14" t="s">
        <v>14</v>
      </c>
      <c r="CS9" s="14" t="s">
        <v>14</v>
      </c>
      <c r="CT9" s="14" t="s">
        <v>14</v>
      </c>
      <c r="CU9" s="14" t="s">
        <v>14</v>
      </c>
      <c r="CV9" s="14" t="s">
        <v>14</v>
      </c>
      <c r="CW9" s="14" t="s">
        <v>14</v>
      </c>
      <c r="CX9" s="14" t="s">
        <v>14</v>
      </c>
      <c r="CY9" s="14" t="s">
        <v>14</v>
      </c>
      <c r="CZ9" s="14" t="s">
        <v>14</v>
      </c>
      <c r="DA9" s="14" t="s">
        <v>14</v>
      </c>
    </row>
    <row r="10" spans="1:105" ht="12">
      <c r="A10" s="23"/>
      <c r="B10" s="15" t="s">
        <v>14</v>
      </c>
      <c r="C10" s="15" t="s">
        <v>14</v>
      </c>
      <c r="D10" s="14" t="s">
        <v>14</v>
      </c>
      <c r="E10" s="14" t="s">
        <v>14</v>
      </c>
      <c r="F10" s="14" t="s">
        <v>14</v>
      </c>
      <c r="G10" s="14" t="s">
        <v>14</v>
      </c>
      <c r="H10" s="51" t="s">
        <v>14</v>
      </c>
      <c r="I10" s="51" t="s">
        <v>14</v>
      </c>
      <c r="J10" s="14" t="s">
        <v>14</v>
      </c>
      <c r="K10" s="14" t="s">
        <v>14</v>
      </c>
      <c r="L10" s="14" t="s">
        <v>14</v>
      </c>
      <c r="M10" s="14" t="s">
        <v>14</v>
      </c>
      <c r="N10" s="14" t="s">
        <v>14</v>
      </c>
      <c r="O10" s="14" t="s">
        <v>14</v>
      </c>
      <c r="P10" s="14" t="s">
        <v>14</v>
      </c>
      <c r="Q10" s="14" t="s">
        <v>14</v>
      </c>
      <c r="R10" s="14" t="s">
        <v>14</v>
      </c>
      <c r="S10" s="14" t="s">
        <v>14</v>
      </c>
      <c r="T10" s="14" t="s">
        <v>14</v>
      </c>
      <c r="U10" s="14" t="s">
        <v>14</v>
      </c>
      <c r="V10" s="14" t="s">
        <v>14</v>
      </c>
      <c r="W10" s="14" t="s">
        <v>14</v>
      </c>
      <c r="X10" s="14" t="s">
        <v>14</v>
      </c>
      <c r="Y10" s="14" t="s">
        <v>14</v>
      </c>
      <c r="Z10" s="14" t="s">
        <v>14</v>
      </c>
      <c r="AA10" s="14" t="s">
        <v>14</v>
      </c>
      <c r="AB10" s="14" t="s">
        <v>14</v>
      </c>
      <c r="AC10" s="14" t="s">
        <v>14</v>
      </c>
      <c r="AD10" s="14" t="s">
        <v>14</v>
      </c>
      <c r="AE10" s="14" t="s">
        <v>14</v>
      </c>
      <c r="AF10" s="14" t="s">
        <v>14</v>
      </c>
      <c r="AG10" s="14" t="s">
        <v>14</v>
      </c>
      <c r="AH10" s="14" t="s">
        <v>14</v>
      </c>
      <c r="AI10" s="14" t="s">
        <v>14</v>
      </c>
      <c r="AJ10" s="14" t="s">
        <v>14</v>
      </c>
      <c r="AK10" s="14" t="s">
        <v>14</v>
      </c>
      <c r="AL10" s="14" t="s">
        <v>14</v>
      </c>
      <c r="AM10" s="14" t="s">
        <v>14</v>
      </c>
      <c r="AN10" s="14" t="s">
        <v>14</v>
      </c>
      <c r="AO10" s="14" t="s">
        <v>14</v>
      </c>
      <c r="AP10" s="14" t="s">
        <v>14</v>
      </c>
      <c r="AQ10" s="14" t="s">
        <v>14</v>
      </c>
      <c r="AR10" s="14" t="s">
        <v>14</v>
      </c>
      <c r="AS10" s="14" t="s">
        <v>14</v>
      </c>
      <c r="AT10" s="14" t="s">
        <v>14</v>
      </c>
      <c r="AU10" s="14" t="s">
        <v>14</v>
      </c>
      <c r="AV10" s="14" t="s">
        <v>14</v>
      </c>
      <c r="AW10" s="14" t="s">
        <v>14</v>
      </c>
      <c r="AX10" s="14" t="s">
        <v>14</v>
      </c>
      <c r="AY10" s="14" t="s">
        <v>14</v>
      </c>
      <c r="AZ10" s="14" t="s">
        <v>14</v>
      </c>
      <c r="BA10" s="14" t="s">
        <v>14</v>
      </c>
      <c r="BB10" s="14" t="s">
        <v>14</v>
      </c>
      <c r="BC10" s="22" t="s">
        <v>12</v>
      </c>
      <c r="BD10" s="14" t="s">
        <v>14</v>
      </c>
      <c r="BE10" s="14" t="s">
        <v>14</v>
      </c>
      <c r="BF10" s="14" t="s">
        <v>14</v>
      </c>
      <c r="BG10" s="14" t="s">
        <v>14</v>
      </c>
      <c r="BH10" s="14" t="s">
        <v>14</v>
      </c>
      <c r="BI10" s="14" t="s">
        <v>14</v>
      </c>
      <c r="BJ10" s="14" t="s">
        <v>14</v>
      </c>
      <c r="BK10" s="14" t="s">
        <v>14</v>
      </c>
      <c r="BL10" s="14" t="s">
        <v>14</v>
      </c>
      <c r="BM10" s="14" t="s">
        <v>14</v>
      </c>
      <c r="BN10" s="14" t="s">
        <v>14</v>
      </c>
      <c r="BO10" s="14" t="s">
        <v>14</v>
      </c>
      <c r="BP10" s="14" t="s">
        <v>14</v>
      </c>
      <c r="BQ10" s="14" t="s">
        <v>14</v>
      </c>
      <c r="BR10" s="14" t="s">
        <v>14</v>
      </c>
      <c r="BS10" s="14" t="s">
        <v>14</v>
      </c>
      <c r="BT10" s="14" t="s">
        <v>14</v>
      </c>
      <c r="BU10" s="14" t="s">
        <v>14</v>
      </c>
      <c r="BV10" s="14" t="s">
        <v>14</v>
      </c>
      <c r="BW10" s="14" t="s">
        <v>14</v>
      </c>
      <c r="BX10" s="14" t="s">
        <v>14</v>
      </c>
      <c r="BY10" s="14" t="s">
        <v>14</v>
      </c>
      <c r="BZ10" s="14" t="s">
        <v>14</v>
      </c>
      <c r="CA10" s="14" t="s">
        <v>14</v>
      </c>
      <c r="CB10" s="14" t="s">
        <v>14</v>
      </c>
      <c r="CC10" s="14" t="s">
        <v>14</v>
      </c>
      <c r="CD10" s="14" t="s">
        <v>14</v>
      </c>
      <c r="CE10" s="14" t="s">
        <v>14</v>
      </c>
      <c r="CF10" s="14" t="s">
        <v>14</v>
      </c>
      <c r="CG10" s="14" t="s">
        <v>14</v>
      </c>
      <c r="CH10" s="14" t="s">
        <v>14</v>
      </c>
      <c r="CI10" s="14" t="s">
        <v>14</v>
      </c>
      <c r="CJ10" s="14" t="s">
        <v>14</v>
      </c>
      <c r="CK10" s="14" t="s">
        <v>14</v>
      </c>
      <c r="CL10" s="14" t="s">
        <v>14</v>
      </c>
      <c r="CM10" s="14" t="s">
        <v>14</v>
      </c>
      <c r="CN10" s="14" t="s">
        <v>14</v>
      </c>
      <c r="CO10" s="14" t="s">
        <v>14</v>
      </c>
      <c r="CP10" s="14" t="s">
        <v>14</v>
      </c>
      <c r="CQ10" s="14" t="s">
        <v>14</v>
      </c>
      <c r="CR10" s="14" t="s">
        <v>14</v>
      </c>
      <c r="CS10" s="14" t="s">
        <v>14</v>
      </c>
      <c r="CT10" s="14" t="s">
        <v>14</v>
      </c>
      <c r="CU10" s="14" t="s">
        <v>14</v>
      </c>
      <c r="CV10" s="14" t="s">
        <v>14</v>
      </c>
      <c r="CW10" s="14" t="s">
        <v>14</v>
      </c>
      <c r="CX10" s="14" t="s">
        <v>14</v>
      </c>
      <c r="CY10" s="14" t="s">
        <v>14</v>
      </c>
      <c r="CZ10" s="14" t="s">
        <v>14</v>
      </c>
      <c r="DA10" s="14" t="s">
        <v>14</v>
      </c>
    </row>
    <row r="11" spans="1:105" ht="12">
      <c r="A11" s="23"/>
      <c r="B11" s="15" t="s">
        <v>14</v>
      </c>
      <c r="C11" s="15" t="s">
        <v>14</v>
      </c>
      <c r="D11" s="14" t="s">
        <v>14</v>
      </c>
      <c r="E11" s="14" t="s">
        <v>14</v>
      </c>
      <c r="F11" s="14" t="s">
        <v>14</v>
      </c>
      <c r="G11" s="14" t="s">
        <v>14</v>
      </c>
      <c r="H11" s="51" t="s">
        <v>14</v>
      </c>
      <c r="I11" s="51" t="s">
        <v>14</v>
      </c>
      <c r="J11" s="14" t="s">
        <v>14</v>
      </c>
      <c r="K11" s="14" t="s">
        <v>14</v>
      </c>
      <c r="L11" s="14" t="s">
        <v>14</v>
      </c>
      <c r="M11" s="14" t="s">
        <v>14</v>
      </c>
      <c r="N11" s="14" t="s">
        <v>14</v>
      </c>
      <c r="O11" s="14" t="s">
        <v>14</v>
      </c>
      <c r="P11" s="14" t="s">
        <v>14</v>
      </c>
      <c r="Q11" s="23" t="s">
        <v>126</v>
      </c>
      <c r="R11" s="24" t="s">
        <v>127</v>
      </c>
      <c r="S11" s="24" t="s">
        <v>127</v>
      </c>
      <c r="T11" s="25" t="s">
        <v>128</v>
      </c>
      <c r="U11" s="25" t="s">
        <v>128</v>
      </c>
      <c r="V11" s="14" t="s">
        <v>14</v>
      </c>
      <c r="W11" s="14" t="s">
        <v>14</v>
      </c>
      <c r="X11" s="25" t="s">
        <v>127</v>
      </c>
      <c r="Y11" s="25" t="s">
        <v>127</v>
      </c>
      <c r="Z11" s="25" t="s">
        <v>127</v>
      </c>
      <c r="AA11" s="25" t="s">
        <v>127</v>
      </c>
      <c r="AB11" s="25" t="s">
        <v>127</v>
      </c>
      <c r="AC11" s="25" t="s">
        <v>127</v>
      </c>
      <c r="AD11" s="25" t="s">
        <v>127</v>
      </c>
      <c r="AE11" s="25" t="s">
        <v>127</v>
      </c>
      <c r="AF11" s="25" t="s">
        <v>127</v>
      </c>
      <c r="AG11" s="25" t="s">
        <v>127</v>
      </c>
      <c r="AH11" s="14" t="s">
        <v>14</v>
      </c>
      <c r="AI11" s="14" t="s">
        <v>14</v>
      </c>
      <c r="AJ11" s="14" t="s">
        <v>14</v>
      </c>
      <c r="AK11" s="23" t="s">
        <v>129</v>
      </c>
      <c r="AL11" s="26">
        <f aca="true" t="shared" si="0" ref="AL11:AL28">AM11+AN11</f>
        <v>95082.5210158496</v>
      </c>
      <c r="AM11" s="26">
        <f>(((AI16+AI29)/2)*(AM13+AM14+AM15+AM16+AM17+AM18+AM19+AM20)*0.48439)</f>
        <v>46057.02235486739</v>
      </c>
      <c r="AN11" s="26">
        <f>(((AI16+AI29)/2)*(AM13+AM14+AM15+AM16+AM17+AM18+AM19+AM20)*0.51561)</f>
        <v>49025.498660982215</v>
      </c>
      <c r="AO11" s="27">
        <f aca="true" t="shared" si="1" ref="AO11:AO28">AL11/$AL$32</f>
        <v>0.07005394270600063</v>
      </c>
      <c r="AP11" s="27">
        <f aca="true" t="shared" si="2" ref="AP11:AP28">AM11/$AM$32</f>
        <v>0.06503951477675746</v>
      </c>
      <c r="AQ11" s="27">
        <f aca="true" t="shared" si="3" ref="AQ11:AQ28">AN11/$AN$32</f>
        <v>0.07552415000100804</v>
      </c>
      <c r="AR11" s="23" t="s">
        <v>129</v>
      </c>
      <c r="AS11" s="26">
        <f aca="true" t="shared" si="4" ref="AS11:AS28">AT11+AU11</f>
        <v>96938.45057891743</v>
      </c>
      <c r="AT11" s="26">
        <f>AI29*(AT13+AT14+AT15+AT16+AT17+AT18+AT19+AT20)*0.48439</f>
        <v>46956.01607592181</v>
      </c>
      <c r="AU11" s="26">
        <f>AI29*(AT13+AT14+AT15+AT16+AT17+AT18+AT19+AT20)*0.51561</f>
        <v>49982.43450299562</v>
      </c>
      <c r="AV11" s="28">
        <f aca="true" t="shared" si="5" ref="AV11:AV28">AS11/$AS$32</f>
        <v>0.06855934153237986</v>
      </c>
      <c r="AW11" s="28">
        <f aca="true" t="shared" si="6" ref="AW11:AW28">AT11/$AT$32</f>
        <v>0.06365297267198095</v>
      </c>
      <c r="AX11" s="28">
        <f aca="true" t="shared" si="7" ref="AX11:AX28">AU11/$AU$32</f>
        <v>0.07391147866830954</v>
      </c>
      <c r="AY11" s="28">
        <f>(B12+B13+C12+C13)/($B$32+$C$32)</f>
        <v>0.07165792872882</v>
      </c>
      <c r="AZ11" s="28">
        <f>D12+D13</f>
        <v>0.06788806332244053</v>
      </c>
      <c r="BA11" s="28">
        <f>E12+E13</f>
        <v>0.0757403585627105</v>
      </c>
      <c r="BB11" s="23" t="s">
        <v>129</v>
      </c>
      <c r="BC11" s="22" t="s">
        <v>12</v>
      </c>
      <c r="BD11" s="14" t="s">
        <v>14</v>
      </c>
      <c r="BE11" s="14" t="s">
        <v>14</v>
      </c>
      <c r="BF11" s="14" t="s">
        <v>14</v>
      </c>
      <c r="BG11" s="14" t="s">
        <v>14</v>
      </c>
      <c r="BH11" s="14" t="s">
        <v>14</v>
      </c>
      <c r="BI11" s="14" t="s">
        <v>14</v>
      </c>
      <c r="BJ11" s="14" t="s">
        <v>14</v>
      </c>
      <c r="BK11" s="14" t="s">
        <v>14</v>
      </c>
      <c r="BL11" s="14" t="s">
        <v>14</v>
      </c>
      <c r="BM11" s="14" t="s">
        <v>14</v>
      </c>
      <c r="BN11" s="14" t="s">
        <v>14</v>
      </c>
      <c r="BO11" s="14" t="s">
        <v>14</v>
      </c>
      <c r="BP11" s="23" t="s">
        <v>126</v>
      </c>
      <c r="BQ11" s="24" t="s">
        <v>127</v>
      </c>
      <c r="BR11" s="24" t="s">
        <v>127</v>
      </c>
      <c r="BS11" s="25" t="s">
        <v>128</v>
      </c>
      <c r="BT11" s="25" t="s">
        <v>128</v>
      </c>
      <c r="BU11" s="14" t="s">
        <v>14</v>
      </c>
      <c r="BV11" s="14" t="s">
        <v>14</v>
      </c>
      <c r="BW11" s="25" t="s">
        <v>127</v>
      </c>
      <c r="BX11" s="25" t="s">
        <v>127</v>
      </c>
      <c r="BY11" s="25" t="s">
        <v>127</v>
      </c>
      <c r="BZ11" s="25" t="s">
        <v>127</v>
      </c>
      <c r="CA11" s="25" t="s">
        <v>127</v>
      </c>
      <c r="CB11" s="25" t="s">
        <v>127</v>
      </c>
      <c r="CC11" s="25" t="s">
        <v>127</v>
      </c>
      <c r="CD11" s="25" t="s">
        <v>127</v>
      </c>
      <c r="CE11" s="25" t="s">
        <v>127</v>
      </c>
      <c r="CF11" s="25" t="s">
        <v>127</v>
      </c>
      <c r="CG11" s="14" t="s">
        <v>14</v>
      </c>
      <c r="CH11" s="14" t="s">
        <v>14</v>
      </c>
      <c r="CI11" s="14" t="s">
        <v>14</v>
      </c>
      <c r="CJ11" s="23" t="s">
        <v>129</v>
      </c>
      <c r="CK11" s="26">
        <f aca="true" t="shared" si="8" ref="CK11:CK28">CL11+CM11</f>
        <v>99066.18233759214</v>
      </c>
      <c r="CL11" s="26">
        <f>(((CH16+CH29)/2)*(CL13+CL14+CL15+CL16+CL17+CL18+CL19+CL20)*0.48439)</f>
        <v>47986.66806250625</v>
      </c>
      <c r="CM11" s="26">
        <f>(((CH16+CH29)/2)*(CL13+CL14+CL15+CL16+CL17+CL18+CL19+CL20)*0.51561)</f>
        <v>51079.51427508589</v>
      </c>
      <c r="CN11" s="27">
        <f aca="true" t="shared" si="9" ref="CN11:CN28">CK11/$CK$32</f>
        <v>0.06858796534225804</v>
      </c>
      <c r="CO11" s="27">
        <f aca="true" t="shared" si="10" ref="CO11:CO28">CL11/$CL$32</f>
        <v>0.06328240331445525</v>
      </c>
      <c r="CP11" s="27">
        <f aca="true" t="shared" si="11" ref="CP11:CP28">CM11/$CM$32</f>
        <v>0.07445203091630864</v>
      </c>
      <c r="CQ11" s="23" t="s">
        <v>129</v>
      </c>
      <c r="CR11" s="26">
        <f aca="true" t="shared" si="12" ref="CR11:CR28">CS11+CT11</f>
        <v>101024.56225059132</v>
      </c>
      <c r="CS11" s="26">
        <f>CH29*(CS13+CS14+CS15+CS16+CS17+CS18+CS19+CS20)*0.48439</f>
        <v>48935.28770856393</v>
      </c>
      <c r="CT11" s="26">
        <f>CH29*(CS13+CS14+CS15+CS16+CS17+CS18+CS19+CS20)*0.51561</f>
        <v>52089.27454202739</v>
      </c>
      <c r="CU11" s="27">
        <f aca="true" t="shared" si="13" ref="CU11:CU28">CR11/$CR$32</f>
        <v>0.06763831679623693</v>
      </c>
      <c r="CV11" s="27">
        <f aca="true" t="shared" si="14" ref="CV11:CV28">CS11/$CS$32</f>
        <v>0.06250358018543266</v>
      </c>
      <c r="CW11" s="27">
        <f aca="true" t="shared" si="15" ref="CW11:CW28">CT11/$CT$32</f>
        <v>0.0732949944364967</v>
      </c>
      <c r="CX11" s="28">
        <f>(BE12+BE13+BF12+BF13)/($BE$32+$BF$32)</f>
        <v>0.06855934153237989</v>
      </c>
      <c r="CY11" s="28">
        <f>BG12+BG13</f>
        <v>0.06365297267198095</v>
      </c>
      <c r="CZ11" s="28">
        <f>BH12+BH13</f>
        <v>0.07391147866830954</v>
      </c>
      <c r="DA11" s="23" t="s">
        <v>129</v>
      </c>
    </row>
    <row r="12" spans="1:105" ht="12">
      <c r="A12" s="23"/>
      <c r="B12" s="18"/>
      <c r="C12" s="18"/>
      <c r="D12" s="28">
        <f aca="true" t="shared" si="16" ref="D12:D30">B12/$B$32</f>
        <v>0</v>
      </c>
      <c r="E12" s="28">
        <f aca="true" t="shared" si="17" ref="E12:E30">C12/$C$32</f>
        <v>0</v>
      </c>
      <c r="F12" s="23" t="s">
        <v>131</v>
      </c>
      <c r="G12" s="23" t="s">
        <v>131</v>
      </c>
      <c r="H12" s="54"/>
      <c r="I12" s="54"/>
      <c r="J12" s="14" t="s">
        <v>14</v>
      </c>
      <c r="K12" s="14" t="s">
        <v>14</v>
      </c>
      <c r="L12" s="14" t="s">
        <v>14</v>
      </c>
      <c r="M12" s="14" t="s">
        <v>14</v>
      </c>
      <c r="N12" s="14" t="s">
        <v>14</v>
      </c>
      <c r="O12" s="14" t="s">
        <v>14</v>
      </c>
      <c r="P12" s="14" t="s">
        <v>14</v>
      </c>
      <c r="Q12" s="23" t="s">
        <v>132</v>
      </c>
      <c r="R12" s="24" t="s">
        <v>133</v>
      </c>
      <c r="S12" s="24" t="s">
        <v>133</v>
      </c>
      <c r="T12" s="25" t="s">
        <v>134</v>
      </c>
      <c r="U12" s="25" t="s">
        <v>134</v>
      </c>
      <c r="V12" s="14" t="s">
        <v>14</v>
      </c>
      <c r="W12" s="14" t="s">
        <v>14</v>
      </c>
      <c r="X12" s="25" t="s">
        <v>133</v>
      </c>
      <c r="Y12" s="25" t="s">
        <v>133</v>
      </c>
      <c r="Z12" s="25" t="s">
        <v>133</v>
      </c>
      <c r="AA12" s="25" t="s">
        <v>133</v>
      </c>
      <c r="AB12" s="25" t="s">
        <v>133</v>
      </c>
      <c r="AC12" s="25" t="s">
        <v>133</v>
      </c>
      <c r="AD12" s="25" t="s">
        <v>133</v>
      </c>
      <c r="AE12" s="25" t="s">
        <v>133</v>
      </c>
      <c r="AF12" s="25" t="s">
        <v>133</v>
      </c>
      <c r="AG12" s="25" t="s">
        <v>133</v>
      </c>
      <c r="AH12" s="23" t="s">
        <v>246</v>
      </c>
      <c r="AI12" s="23" t="s">
        <v>246</v>
      </c>
      <c r="AJ12" s="23" t="s">
        <v>246</v>
      </c>
      <c r="AK12" s="23" t="s">
        <v>135</v>
      </c>
      <c r="AL12" s="26">
        <f t="shared" si="0"/>
        <v>92732.4071225152</v>
      </c>
      <c r="AM12" s="26">
        <f>(((AJ16+AJ29)/2)*(AM13+AM14+AM15+AM16+AM17+AM18+AM19+AM20)*0.495)</f>
        <v>46984.501125675146</v>
      </c>
      <c r="AN12" s="26">
        <f>(((AJ16+AJ29)/2)*(AN13+AN14+AN15+AN16+AN17+AN18+AN19+AN20)*0.505)</f>
        <v>45747.90599684005</v>
      </c>
      <c r="AO12" s="27">
        <f t="shared" si="1"/>
        <v>0.0683224494485934</v>
      </c>
      <c r="AP12" s="27">
        <f t="shared" si="2"/>
        <v>0.06634925574859658</v>
      </c>
      <c r="AQ12" s="27">
        <f t="shared" si="3"/>
        <v>0.07047499381147837</v>
      </c>
      <c r="AR12" s="23" t="s">
        <v>135</v>
      </c>
      <c r="AS12" s="26">
        <f t="shared" si="4"/>
        <v>96770.90593901706</v>
      </c>
      <c r="AT12" s="26">
        <f>AJ29*(AT13+AT14+AT15+AT16+AT17+AT18+AT19+AT20)*0.495</f>
        <v>47901.598439813446</v>
      </c>
      <c r="AU12" s="26">
        <f>AJ29*(AT13+AT14+AT15+AT16+AT17+AT18+AT19+AT20)*0.505</f>
        <v>48869.30749920361</v>
      </c>
      <c r="AV12" s="28">
        <f t="shared" si="5"/>
        <v>0.06844084623850782</v>
      </c>
      <c r="AW12" s="28">
        <f t="shared" si="6"/>
        <v>0.06493479198711584</v>
      </c>
      <c r="AX12" s="28">
        <f t="shared" si="7"/>
        <v>0.07226544314375018</v>
      </c>
      <c r="AY12" s="28">
        <f>(B14+C14)/($B$32+$C$32)</f>
        <v>0.071534077957602</v>
      </c>
      <c r="AZ12" s="28">
        <f>D14</f>
        <v>0.06795090640180988</v>
      </c>
      <c r="BA12" s="28">
        <f>E14</f>
        <v>0.07541433491175205</v>
      </c>
      <c r="BB12" s="23" t="s">
        <v>135</v>
      </c>
      <c r="BC12" s="22" t="s">
        <v>12</v>
      </c>
      <c r="BD12" s="25" t="s">
        <v>130</v>
      </c>
      <c r="BE12" s="26">
        <f>AT11/5</f>
        <v>9391.203215184363</v>
      </c>
      <c r="BF12" s="26">
        <f>AU11/5</f>
        <v>9996.486900599124</v>
      </c>
      <c r="BG12" s="28">
        <f aca="true" t="shared" si="18" ref="BG12:BG30">BE12/$BE$32</f>
        <v>0.01273059453439619</v>
      </c>
      <c r="BH12" s="28">
        <f aca="true" t="shared" si="19" ref="BH12:BH30">BF12/$BF$32</f>
        <v>0.014782295733661908</v>
      </c>
      <c r="BI12" s="14" t="s">
        <v>14</v>
      </c>
      <c r="BJ12" s="14" t="s">
        <v>14</v>
      </c>
      <c r="BK12" s="14" t="s">
        <v>14</v>
      </c>
      <c r="BL12" s="14" t="s">
        <v>14</v>
      </c>
      <c r="BM12" s="14" t="s">
        <v>14</v>
      </c>
      <c r="BN12" s="14" t="s">
        <v>14</v>
      </c>
      <c r="BO12" s="14" t="s">
        <v>14</v>
      </c>
      <c r="BP12" s="23" t="s">
        <v>132</v>
      </c>
      <c r="BQ12" s="24" t="s">
        <v>133</v>
      </c>
      <c r="BR12" s="24" t="s">
        <v>133</v>
      </c>
      <c r="BS12" s="25" t="s">
        <v>134</v>
      </c>
      <c r="BT12" s="25" t="s">
        <v>134</v>
      </c>
      <c r="BU12" s="14" t="s">
        <v>14</v>
      </c>
      <c r="BV12" s="14" t="s">
        <v>14</v>
      </c>
      <c r="BW12" s="25" t="s">
        <v>133</v>
      </c>
      <c r="BX12" s="25" t="s">
        <v>133</v>
      </c>
      <c r="BY12" s="25" t="s">
        <v>133</v>
      </c>
      <c r="BZ12" s="25" t="s">
        <v>133</v>
      </c>
      <c r="CA12" s="25" t="s">
        <v>133</v>
      </c>
      <c r="CB12" s="25" t="s">
        <v>133</v>
      </c>
      <c r="CC12" s="25" t="s">
        <v>133</v>
      </c>
      <c r="CD12" s="25" t="s">
        <v>133</v>
      </c>
      <c r="CE12" s="25" t="s">
        <v>133</v>
      </c>
      <c r="CF12" s="25" t="s">
        <v>133</v>
      </c>
      <c r="CG12" s="23" t="s">
        <v>136</v>
      </c>
      <c r="CH12" s="29" t="s">
        <v>137</v>
      </c>
      <c r="CI12" s="30" t="s">
        <v>136</v>
      </c>
      <c r="CJ12" s="23" t="s">
        <v>135</v>
      </c>
      <c r="CK12" s="26">
        <f t="shared" si="8"/>
        <v>94327.29695168845</v>
      </c>
      <c r="CL12" s="26">
        <f>(((CI16+CI29)/2)*(CL14+CL15+CL16+CL17+CL18+CL19+CL20+CL21)*0.495)</f>
        <v>48436.90096595997</v>
      </c>
      <c r="CM12" s="26">
        <f>(((CI16+CI29)/2)*(CM14+CM15+CM16+CM17+CM18+CM19+CM20+CM21)*0.505)</f>
        <v>45890.39598572847</v>
      </c>
      <c r="CN12" s="27">
        <f t="shared" si="9"/>
        <v>0.06530702225007674</v>
      </c>
      <c r="CO12" s="27">
        <f t="shared" si="10"/>
        <v>0.06387614781333739</v>
      </c>
      <c r="CP12" s="27">
        <f t="shared" si="11"/>
        <v>0.06688852134127615</v>
      </c>
      <c r="CQ12" s="23" t="s">
        <v>135</v>
      </c>
      <c r="CR12" s="26">
        <f t="shared" si="12"/>
        <v>100849.95533452979</v>
      </c>
      <c r="CS12" s="26">
        <f>CI29*(CS13+CS14+CS15+CS16+CS17+CS18+CS19+CS20)*0.495</f>
        <v>49920.72789059224</v>
      </c>
      <c r="CT12" s="26">
        <f>CI29*(CS13+CS14+CS15+CS16+CS17+CS18+CS19+CS20)*0.505</f>
        <v>50929.22744393755</v>
      </c>
      <c r="CU12" s="27">
        <f t="shared" si="13"/>
        <v>0.0675214133656228</v>
      </c>
      <c r="CV12" s="27">
        <f t="shared" si="14"/>
        <v>0.06376225347253331</v>
      </c>
      <c r="CW12" s="27">
        <f t="shared" si="15"/>
        <v>0.07166268824010368</v>
      </c>
      <c r="CX12" s="28">
        <f aca="true" t="shared" si="20" ref="CX12:CX28">(BE14+BF14)/($BE$32+$BF$32)</f>
        <v>0.06844084623850784</v>
      </c>
      <c r="CY12" s="28">
        <f aca="true" t="shared" si="21" ref="CY12:CY28">BG14</f>
        <v>0.06493479198711584</v>
      </c>
      <c r="CZ12" s="28">
        <f aca="true" t="shared" si="22" ref="CZ12:CZ28">BH14</f>
        <v>0.07226544314375018</v>
      </c>
      <c r="DA12" s="23" t="s">
        <v>135</v>
      </c>
    </row>
    <row r="13" spans="1:105" ht="12">
      <c r="A13" s="46" t="s">
        <v>145</v>
      </c>
      <c r="B13" s="18">
        <v>46452</v>
      </c>
      <c r="C13" s="18">
        <v>47857</v>
      </c>
      <c r="D13" s="28">
        <f t="shared" si="16"/>
        <v>0.06788806332244053</v>
      </c>
      <c r="E13" s="28">
        <f t="shared" si="17"/>
        <v>0.0757403585627105</v>
      </c>
      <c r="F13" s="31">
        <v>0.9986107726251804</v>
      </c>
      <c r="G13" s="31">
        <v>0.9982462315776404</v>
      </c>
      <c r="H13" s="55">
        <v>0.994169765625</v>
      </c>
      <c r="I13" s="55">
        <v>0.993045390625</v>
      </c>
      <c r="J13" s="14" t="s">
        <v>14</v>
      </c>
      <c r="K13" s="14" t="s">
        <v>14</v>
      </c>
      <c r="L13" s="14" t="s">
        <v>14</v>
      </c>
      <c r="M13" s="14" t="s">
        <v>14</v>
      </c>
      <c r="N13" s="14" t="s">
        <v>14</v>
      </c>
      <c r="O13" s="14" t="s">
        <v>14</v>
      </c>
      <c r="P13" s="14" t="s">
        <v>14</v>
      </c>
      <c r="Q13" s="23" t="s">
        <v>139</v>
      </c>
      <c r="R13" s="32">
        <v>1</v>
      </c>
      <c r="S13" s="32">
        <v>1</v>
      </c>
      <c r="T13" s="26">
        <f>(R13*H13*(B12+B13))</f>
        <v>46181.1739528125</v>
      </c>
      <c r="U13" s="26">
        <f>(S13*I13*(C12+C13))</f>
        <v>47524.173259140625</v>
      </c>
      <c r="V13" s="28">
        <f aca="true" t="shared" si="23" ref="V13:V28">IF(ABS(M15)=0,0,+O15/M15)</f>
        <v>0.0895089311245979</v>
      </c>
      <c r="W13" s="28">
        <f aca="true" t="shared" si="24" ref="W13:W28">IF(ABS(N15)=0,0,+P15/N15)</f>
        <v>0.09692934701507655</v>
      </c>
      <c r="X13" s="26">
        <f aca="true" t="shared" si="25" ref="X13:X28">IF(OR(ABS(V13)&gt;4,M15=0),+4*O15,(V13*T13))</f>
        <v>4133.627518595369</v>
      </c>
      <c r="Y13" s="26">
        <f aca="true" t="shared" si="26" ref="Y13:Y28">IF(OR(ABS(W13)&gt;4,N15=0),+4*P15,(W13*U13))</f>
        <v>4606.487081439863</v>
      </c>
      <c r="Z13" s="32">
        <v>1</v>
      </c>
      <c r="AA13" s="32">
        <v>1</v>
      </c>
      <c r="AB13" s="26">
        <f aca="true" t="shared" si="27" ref="AB13:AB28">X13*Z13</f>
        <v>4133.627518595369</v>
      </c>
      <c r="AC13" s="26">
        <f aca="true" t="shared" si="28" ref="AC13:AC28">Y13*AA13</f>
        <v>4606.487081439863</v>
      </c>
      <c r="AD13" s="18">
        <v>0</v>
      </c>
      <c r="AE13" s="18">
        <v>0</v>
      </c>
      <c r="AF13" s="26">
        <f aca="true" t="shared" si="29" ref="AF13:AF28">AB13+AD13</f>
        <v>4133.627518595369</v>
      </c>
      <c r="AG13" s="26">
        <f aca="true" t="shared" si="30" ref="AG13:AG28">AC13+AE13</f>
        <v>4606.487081439863</v>
      </c>
      <c r="AH13" s="26">
        <f>+K17+K18+K19+K20+K21+K22+K23+K24</f>
        <v>370263</v>
      </c>
      <c r="AI13" s="27">
        <f>(K15+L15)/AH13</f>
        <v>0.24722967188187855</v>
      </c>
      <c r="AJ13" s="27">
        <f>(K16+L16)/AH13</f>
        <v>0.2650521386149845</v>
      </c>
      <c r="AK13" s="23" t="s">
        <v>141</v>
      </c>
      <c r="AL13" s="26">
        <f t="shared" si="0"/>
        <v>98447.2586001539</v>
      </c>
      <c r="AM13" s="26">
        <f>(B14*F14*R13)+((AF13)/2)</f>
        <v>48531.59986593126</v>
      </c>
      <c r="AN13" s="26">
        <f>(C14*G14*S13)+((AG13)/2)</f>
        <v>49915.65873422264</v>
      </c>
      <c r="AO13" s="27">
        <f t="shared" si="1"/>
        <v>0.07253298019294618</v>
      </c>
      <c r="AP13" s="27">
        <f t="shared" si="2"/>
        <v>0.06853399427994795</v>
      </c>
      <c r="AQ13" s="27">
        <f t="shared" si="3"/>
        <v>0.07689544829949578</v>
      </c>
      <c r="AR13" s="23" t="s">
        <v>141</v>
      </c>
      <c r="AS13" s="26">
        <f t="shared" si="4"/>
        <v>102445.46181198835</v>
      </c>
      <c r="AT13" s="26">
        <f>T13+AF13</f>
        <v>50314.801471407874</v>
      </c>
      <c r="AU13" s="26">
        <f aca="true" t="shared" si="31" ref="AU13:AU28">U13+AG13</f>
        <v>52130.660340580485</v>
      </c>
      <c r="AV13" s="28">
        <f t="shared" si="5"/>
        <v>0.07245415377350799</v>
      </c>
      <c r="AW13" s="28">
        <f t="shared" si="6"/>
        <v>0.0682060990412249</v>
      </c>
      <c r="AX13" s="28">
        <f t="shared" si="7"/>
        <v>0.07708816563340423</v>
      </c>
      <c r="AY13" s="28">
        <f>(B15+C15)/($B$32+$C$32)</f>
        <v>0.07555580882911633</v>
      </c>
      <c r="AZ13" s="28">
        <f>D15</f>
        <v>0.0710053723525526</v>
      </c>
      <c r="BA13" s="28">
        <f>E15</f>
        <v>0.08048352789243118</v>
      </c>
      <c r="BB13" s="23" t="s">
        <v>141</v>
      </c>
      <c r="BC13" s="22" t="s">
        <v>12</v>
      </c>
      <c r="BD13" s="25" t="s">
        <v>138</v>
      </c>
      <c r="BE13" s="26">
        <f>AT11*0.8</f>
        <v>37564.81286073745</v>
      </c>
      <c r="BF13" s="26">
        <f>AU11*0.8</f>
        <v>39985.947602396496</v>
      </c>
      <c r="BG13" s="28">
        <f t="shared" si="18"/>
        <v>0.05092237813758476</v>
      </c>
      <c r="BH13" s="28">
        <f t="shared" si="19"/>
        <v>0.05912918293464763</v>
      </c>
      <c r="BI13" s="14" t="s">
        <v>14</v>
      </c>
      <c r="BJ13" s="14" t="s">
        <v>14</v>
      </c>
      <c r="BK13" s="14" t="s">
        <v>14</v>
      </c>
      <c r="BL13" s="14" t="s">
        <v>14</v>
      </c>
      <c r="BM13" s="14" t="s">
        <v>14</v>
      </c>
      <c r="BN13" s="14" t="s">
        <v>14</v>
      </c>
      <c r="BO13" s="14" t="s">
        <v>14</v>
      </c>
      <c r="BP13" s="23" t="s">
        <v>139</v>
      </c>
      <c r="BQ13" s="32">
        <v>1</v>
      </c>
      <c r="BR13" s="32">
        <v>1</v>
      </c>
      <c r="BS13" s="26">
        <f>(BQ13*H13*(BE12+BE13))</f>
        <v>46682.25149688292</v>
      </c>
      <c r="BT13" s="26">
        <f>(BR13*I13*(BF12+BF13))</f>
        <v>49634.82619541576</v>
      </c>
      <c r="BU13" s="28">
        <f aca="true" t="shared" si="32" ref="BU13:BU28">IF(ABS(BL15)=0,0,+BN15/BL15)</f>
        <v>0.08950893112459794</v>
      </c>
      <c r="BV13" s="28">
        <f aca="true" t="shared" si="33" ref="BV13:BV28">IF(ABS(BM15)=0,0,+BO15/BM15)</f>
        <v>0.09692934701507648</v>
      </c>
      <c r="BW13" s="26">
        <f aca="true" t="shared" si="34" ref="BW13:BW28">IF(OR(ABS(BU13)&gt;4,BL15=0),+4*BN15,(BU13*BS13))</f>
        <v>4178.4784339756525</v>
      </c>
      <c r="BX13" s="26">
        <f aca="true" t="shared" si="35" ref="BX13:BX28">IF(OR(ABS(BV13)&gt;4,BM15=0),+4*BO15,(BV13*BT13))</f>
        <v>4811.071292328462</v>
      </c>
      <c r="BY13" s="32">
        <v>1</v>
      </c>
      <c r="BZ13" s="32">
        <v>1</v>
      </c>
      <c r="CA13" s="26">
        <f aca="true" t="shared" si="36" ref="CA13:CA28">BW13*BY13</f>
        <v>4178.4784339756525</v>
      </c>
      <c r="CB13" s="26">
        <f aca="true" t="shared" si="37" ref="CB13:CB28">BX13*BZ13</f>
        <v>4811.071292328462</v>
      </c>
      <c r="CC13" s="18">
        <v>0</v>
      </c>
      <c r="CD13" s="18">
        <v>0</v>
      </c>
      <c r="CE13" s="26">
        <f aca="true" t="shared" si="38" ref="CE13:CE28">CA13+CC13</f>
        <v>4178.4784339756525</v>
      </c>
      <c r="CF13" s="26">
        <f aca="true" t="shared" si="39" ref="CF13:CF28">CB13+CD13</f>
        <v>4811.071292328462</v>
      </c>
      <c r="CG13" s="26">
        <f>+BJ17+BJ18+BJ19+BJ20+BJ21+BJ22+BJ23+BJ24</f>
        <v>380086</v>
      </c>
      <c r="CH13" s="27">
        <f>(BJ15+BK15)/CG13</f>
        <v>0.24812542424609169</v>
      </c>
      <c r="CI13" s="27">
        <f>(BJ16+BK16)/CG13</f>
        <v>0.24769657393326774</v>
      </c>
      <c r="CJ13" s="23" t="s">
        <v>141</v>
      </c>
      <c r="CK13" s="26">
        <f t="shared" si="8"/>
        <v>101194.98154161024</v>
      </c>
      <c r="CL13" s="26">
        <f>(BE14*F14*BQ13)+((CE13)/2)</f>
        <v>49959.70971213321</v>
      </c>
      <c r="CM13" s="26">
        <f>(BF14*G14*BR13)+((CF13)/2)</f>
        <v>51235.271829477024</v>
      </c>
      <c r="CN13" s="27">
        <f t="shared" si="9"/>
        <v>0.07006182859791733</v>
      </c>
      <c r="CO13" s="27">
        <f t="shared" si="10"/>
        <v>0.06588435136521954</v>
      </c>
      <c r="CP13" s="27">
        <f t="shared" si="11"/>
        <v>0.07467905864786704</v>
      </c>
      <c r="CQ13" s="23" t="s">
        <v>141</v>
      </c>
      <c r="CR13" s="26">
        <f t="shared" si="12"/>
        <v>105306.62741860279</v>
      </c>
      <c r="CS13" s="26">
        <f aca="true" t="shared" si="40" ref="CS13:CS28">BS13+CE13</f>
        <v>50860.72993085857</v>
      </c>
      <c r="CT13" s="26">
        <f aca="true" t="shared" si="41" ref="CT13:CT28">BT13+CF13</f>
        <v>54445.897487744216</v>
      </c>
      <c r="CU13" s="27">
        <f t="shared" si="13"/>
        <v>0.07050525998236684</v>
      </c>
      <c r="CV13" s="27">
        <f t="shared" si="14"/>
        <v>0.06496288997942719</v>
      </c>
      <c r="CW13" s="27">
        <f t="shared" si="15"/>
        <v>0.07661100655634052</v>
      </c>
      <c r="CX13" s="28">
        <f t="shared" si="20"/>
        <v>0.07245415377350801</v>
      </c>
      <c r="CY13" s="28">
        <f t="shared" si="21"/>
        <v>0.0682060990412249</v>
      </c>
      <c r="CZ13" s="28">
        <f t="shared" si="22"/>
        <v>0.07708816563340423</v>
      </c>
      <c r="DA13" s="23" t="s">
        <v>141</v>
      </c>
    </row>
    <row r="14" spans="1:105" ht="12">
      <c r="A14" s="23" t="s">
        <v>142</v>
      </c>
      <c r="B14" s="18">
        <v>46495</v>
      </c>
      <c r="C14" s="18">
        <v>47651</v>
      </c>
      <c r="D14" s="28">
        <f t="shared" si="16"/>
        <v>0.06795090640180988</v>
      </c>
      <c r="E14" s="28">
        <f t="shared" si="17"/>
        <v>0.07541433491175205</v>
      </c>
      <c r="F14" s="31">
        <v>0.9993501689780315</v>
      </c>
      <c r="G14" s="31">
        <v>0.9991902623974882</v>
      </c>
      <c r="H14" s="55">
        <v>0.9986016126992898</v>
      </c>
      <c r="I14" s="55">
        <v>0.9982461463831942</v>
      </c>
      <c r="J14" s="14" t="s">
        <v>14</v>
      </c>
      <c r="K14" s="33" t="s">
        <v>14</v>
      </c>
      <c r="L14" s="33" t="s">
        <v>14</v>
      </c>
      <c r="M14" s="14" t="s">
        <v>14</v>
      </c>
      <c r="N14" s="14" t="s">
        <v>14</v>
      </c>
      <c r="O14" s="14" t="s">
        <v>14</v>
      </c>
      <c r="P14" s="14" t="s">
        <v>14</v>
      </c>
      <c r="Q14" s="23" t="s">
        <v>143</v>
      </c>
      <c r="R14" s="32">
        <v>1</v>
      </c>
      <c r="S14" s="32">
        <v>1</v>
      </c>
      <c r="T14" s="26">
        <f>(R14*H14*B14)</f>
        <v>46429.98198245348</v>
      </c>
      <c r="U14" s="26">
        <f>(S14*I14*C14)</f>
        <v>47567.42712130558</v>
      </c>
      <c r="V14" s="28">
        <f t="shared" si="23"/>
        <v>0.040738233644901194</v>
      </c>
      <c r="W14" s="28">
        <f t="shared" si="24"/>
        <v>0.020962871368648713</v>
      </c>
      <c r="X14" s="26">
        <f t="shared" si="25"/>
        <v>1891.4754541297425</v>
      </c>
      <c r="Y14" s="26">
        <f t="shared" si="26"/>
        <v>997.1498560815011</v>
      </c>
      <c r="Z14" s="32">
        <v>1</v>
      </c>
      <c r="AA14" s="32">
        <v>1</v>
      </c>
      <c r="AB14" s="26">
        <f t="shared" si="27"/>
        <v>1891.4754541297425</v>
      </c>
      <c r="AC14" s="26">
        <f t="shared" si="28"/>
        <v>997.1498560815011</v>
      </c>
      <c r="AD14" s="18">
        <v>0</v>
      </c>
      <c r="AE14" s="18">
        <v>0</v>
      </c>
      <c r="AF14" s="26">
        <f t="shared" si="29"/>
        <v>1891.4754541297425</v>
      </c>
      <c r="AG14" s="26">
        <f t="shared" si="30"/>
        <v>997.1498560815011</v>
      </c>
      <c r="AH14" s="26"/>
      <c r="AI14" s="27"/>
      <c r="AJ14" s="27"/>
      <c r="AK14" s="23" t="s">
        <v>144</v>
      </c>
      <c r="AL14" s="26">
        <f t="shared" si="0"/>
        <v>100788.1755950262</v>
      </c>
      <c r="AM14" s="26">
        <f>(B15*F15*R14)+((AF14)/2)</f>
        <v>49494.30990705025</v>
      </c>
      <c r="AN14" s="26">
        <f>(C15*G15*S14)+((AG14)/2)</f>
        <v>51293.86568797595</v>
      </c>
      <c r="AO14" s="27">
        <f t="shared" si="1"/>
        <v>0.07425769745208313</v>
      </c>
      <c r="AP14" s="27">
        <f t="shared" si="2"/>
        <v>0.06989348715950607</v>
      </c>
      <c r="AQ14" s="27">
        <f t="shared" si="3"/>
        <v>0.07901858649391741</v>
      </c>
      <c r="AR14" s="23" t="s">
        <v>144</v>
      </c>
      <c r="AS14" s="26">
        <f t="shared" si="4"/>
        <v>96886.03441397031</v>
      </c>
      <c r="AT14" s="26">
        <f aca="true" t="shared" si="42" ref="AT14:AT28">T14+AF14</f>
        <v>48321.45743658322</v>
      </c>
      <c r="AU14" s="26">
        <f t="shared" si="31"/>
        <v>48564.576977387085</v>
      </c>
      <c r="AV14" s="28">
        <f t="shared" si="5"/>
        <v>0.06852227040391674</v>
      </c>
      <c r="AW14" s="28">
        <f t="shared" si="6"/>
        <v>0.06550394745388842</v>
      </c>
      <c r="AX14" s="28">
        <f t="shared" si="7"/>
        <v>0.07181482316721673</v>
      </c>
      <c r="AY14" s="28">
        <f>(B16+C16)/($B$32+$C$32)</f>
        <v>0.07672897196261683</v>
      </c>
      <c r="AZ14" s="28">
        <f>D16</f>
        <v>0.07269044375982836</v>
      </c>
      <c r="BA14" s="28">
        <f>E16</f>
        <v>0.0811023397736193</v>
      </c>
      <c r="BB14" s="23" t="s">
        <v>144</v>
      </c>
      <c r="BC14" s="22" t="s">
        <v>12</v>
      </c>
      <c r="BD14" s="25" t="s">
        <v>142</v>
      </c>
      <c r="BE14" s="26">
        <f aca="true" t="shared" si="43" ref="BE14:BE30">AT12</f>
        <v>47901.598439813446</v>
      </c>
      <c r="BF14" s="26">
        <f aca="true" t="shared" si="44" ref="BF14:BF30">AU12</f>
        <v>48869.30749920361</v>
      </c>
      <c r="BG14" s="28">
        <f t="shared" si="18"/>
        <v>0.06493479198711584</v>
      </c>
      <c r="BH14" s="28">
        <f t="shared" si="19"/>
        <v>0.07226544314375018</v>
      </c>
      <c r="BI14" s="14" t="s">
        <v>14</v>
      </c>
      <c r="BJ14" s="14" t="s">
        <v>14</v>
      </c>
      <c r="BK14" s="14" t="s">
        <v>14</v>
      </c>
      <c r="BL14" s="14" t="s">
        <v>14</v>
      </c>
      <c r="BM14" s="14" t="s">
        <v>14</v>
      </c>
      <c r="BN14" s="14" t="s">
        <v>14</v>
      </c>
      <c r="BO14" s="14" t="s">
        <v>14</v>
      </c>
      <c r="BP14" s="23" t="s">
        <v>143</v>
      </c>
      <c r="BQ14" s="32">
        <v>1</v>
      </c>
      <c r="BR14" s="32">
        <v>1</v>
      </c>
      <c r="BS14" s="26">
        <f>(BQ14*H14*BE14)</f>
        <v>47834.61345287149</v>
      </c>
      <c r="BT14" s="26">
        <f>(BR14*I14*BF14)</f>
        <v>48783.597887495336</v>
      </c>
      <c r="BU14" s="28">
        <f t="shared" si="32"/>
        <v>0.040738233644901235</v>
      </c>
      <c r="BV14" s="28">
        <f t="shared" si="33"/>
        <v>0.020962871368648724</v>
      </c>
      <c r="BW14" s="26">
        <f t="shared" si="34"/>
        <v>1948.6976591566147</v>
      </c>
      <c r="BX14" s="26">
        <f t="shared" si="35"/>
        <v>1022.6442874154484</v>
      </c>
      <c r="BY14" s="32">
        <v>1</v>
      </c>
      <c r="BZ14" s="32">
        <v>1</v>
      </c>
      <c r="CA14" s="26">
        <f t="shared" si="36"/>
        <v>1948.6976591566147</v>
      </c>
      <c r="CB14" s="26">
        <f t="shared" si="37"/>
        <v>1022.6442874154484</v>
      </c>
      <c r="CC14" s="18">
        <v>0</v>
      </c>
      <c r="CD14" s="18">
        <v>0</v>
      </c>
      <c r="CE14" s="26">
        <f t="shared" si="38"/>
        <v>1948.6976591566147</v>
      </c>
      <c r="CF14" s="26">
        <f t="shared" si="39"/>
        <v>1022.6442874154484</v>
      </c>
      <c r="CG14" s="26"/>
      <c r="CJ14" s="23" t="s">
        <v>144</v>
      </c>
      <c r="CK14" s="26">
        <f t="shared" si="8"/>
        <v>103833.22490162638</v>
      </c>
      <c r="CL14" s="26">
        <f>(BE15*F15*BQ14)+((CE14)/2)</f>
        <v>51251.42551901496</v>
      </c>
      <c r="CM14" s="26">
        <f>(BF15*G15*BR14)+((CF14)/2)</f>
        <v>52581.79938261142</v>
      </c>
      <c r="CN14" s="27">
        <f t="shared" si="9"/>
        <v>0.07188840291289994</v>
      </c>
      <c r="CO14" s="27">
        <f t="shared" si="10"/>
        <v>0.06758780117657698</v>
      </c>
      <c r="CP14" s="27">
        <f t="shared" si="11"/>
        <v>0.07664171848201745</v>
      </c>
      <c r="CQ14" s="23" t="s">
        <v>144</v>
      </c>
      <c r="CR14" s="26">
        <f t="shared" si="12"/>
        <v>99589.55328693888</v>
      </c>
      <c r="CS14" s="26">
        <f t="shared" si="40"/>
        <v>49783.3111120281</v>
      </c>
      <c r="CT14" s="26">
        <f t="shared" si="41"/>
        <v>49806.24217491078</v>
      </c>
      <c r="CU14" s="27">
        <f t="shared" si="13"/>
        <v>0.06667754459661876</v>
      </c>
      <c r="CV14" s="27">
        <f t="shared" si="14"/>
        <v>0.063586735129023</v>
      </c>
      <c r="CW14" s="27">
        <f t="shared" si="15"/>
        <v>0.07008253186877286</v>
      </c>
      <c r="CX14" s="28">
        <f t="shared" si="20"/>
        <v>0.06852227040391676</v>
      </c>
      <c r="CY14" s="28">
        <f t="shared" si="21"/>
        <v>0.06550394745388842</v>
      </c>
      <c r="CZ14" s="28">
        <f t="shared" si="22"/>
        <v>0.07181482316721673</v>
      </c>
      <c r="DA14" s="23" t="s">
        <v>144</v>
      </c>
    </row>
    <row r="15" spans="1:105" ht="12">
      <c r="A15" s="23" t="s">
        <v>139</v>
      </c>
      <c r="B15" s="18">
        <v>48585</v>
      </c>
      <c r="C15" s="18">
        <v>50854</v>
      </c>
      <c r="D15" s="28">
        <f t="shared" si="16"/>
        <v>0.0710053723525526</v>
      </c>
      <c r="E15" s="28">
        <f t="shared" si="17"/>
        <v>0.08048352789243118</v>
      </c>
      <c r="F15" s="31">
        <v>0.9992502249662525</v>
      </c>
      <c r="G15" s="31">
        <v>0.9988455334867503</v>
      </c>
      <c r="H15" s="55">
        <v>0.9985531639113768</v>
      </c>
      <c r="I15" s="55">
        <v>0.997407322127344</v>
      </c>
      <c r="J15" s="23" t="s">
        <v>145</v>
      </c>
      <c r="K15" s="18">
        <v>44855</v>
      </c>
      <c r="L15" s="18">
        <v>46685</v>
      </c>
      <c r="M15" s="26">
        <f>H13*K15</f>
        <v>44593.484837109376</v>
      </c>
      <c r="N15" s="26">
        <f>I13*L15</f>
        <v>46360.32406132812</v>
      </c>
      <c r="O15" s="26">
        <f>B15-M15</f>
        <v>3991.515162890624</v>
      </c>
      <c r="P15" s="26">
        <f>C15-N15</f>
        <v>4493.675938671877</v>
      </c>
      <c r="Q15" s="23" t="s">
        <v>146</v>
      </c>
      <c r="R15" s="32">
        <v>1</v>
      </c>
      <c r="S15" s="32">
        <v>1</v>
      </c>
      <c r="T15" s="26">
        <f>(R15*H15*B15)</f>
        <v>48514.705468634245</v>
      </c>
      <c r="U15" s="26">
        <f>(S15*I15*C15)</f>
        <v>50722.15195946395</v>
      </c>
      <c r="V15" s="28">
        <f t="shared" si="23"/>
        <v>-0.045251857073920036</v>
      </c>
      <c r="W15" s="28">
        <f t="shared" si="24"/>
        <v>-0.0967522947659115</v>
      </c>
      <c r="X15" s="26">
        <f t="shared" si="25"/>
        <v>-2195.380517849964</v>
      </c>
      <c r="Y15" s="26">
        <f t="shared" si="26"/>
        <v>-4907.484597543412</v>
      </c>
      <c r="Z15" s="32">
        <v>1</v>
      </c>
      <c r="AA15" s="32">
        <v>1</v>
      </c>
      <c r="AB15" s="26">
        <f t="shared" si="27"/>
        <v>-2195.380517849964</v>
      </c>
      <c r="AC15" s="26">
        <f t="shared" si="28"/>
        <v>-4907.484597543412</v>
      </c>
      <c r="AD15" s="18">
        <v>0</v>
      </c>
      <c r="AE15" s="18">
        <v>0</v>
      </c>
      <c r="AF15" s="26">
        <f t="shared" si="29"/>
        <v>-2195.380517849964</v>
      </c>
      <c r="AG15" s="26">
        <f t="shared" si="30"/>
        <v>-4907.484597543412</v>
      </c>
      <c r="AH15" s="34" t="s">
        <v>247</v>
      </c>
      <c r="AI15" s="34" t="s">
        <v>247</v>
      </c>
      <c r="AJ15" s="34" t="s">
        <v>247</v>
      </c>
      <c r="AK15" s="23" t="s">
        <v>147</v>
      </c>
      <c r="AL15" s="26">
        <f t="shared" si="0"/>
        <v>97098.59445754992</v>
      </c>
      <c r="AM15" s="26">
        <f>(B16*F16*R15)+((AF15)/2)</f>
        <v>48543.3962630747</v>
      </c>
      <c r="AN15" s="26">
        <f>(C16*G16*S15)+((AG15)/2)</f>
        <v>48555.19819447522</v>
      </c>
      <c r="AO15" s="27">
        <f t="shared" si="1"/>
        <v>0.07153932500200033</v>
      </c>
      <c r="AP15" s="27">
        <f t="shared" si="2"/>
        <v>0.068550652585394</v>
      </c>
      <c r="AQ15" s="27">
        <f t="shared" si="3"/>
        <v>0.07479964858953567</v>
      </c>
      <c r="AR15" s="23" t="s">
        <v>147</v>
      </c>
      <c r="AS15" s="26">
        <f t="shared" si="4"/>
        <v>92133.99231270482</v>
      </c>
      <c r="AT15" s="26">
        <f t="shared" si="42"/>
        <v>46319.324950784285</v>
      </c>
      <c r="AU15" s="26">
        <f t="shared" si="31"/>
        <v>45814.66736192053</v>
      </c>
      <c r="AV15" s="28">
        <f t="shared" si="5"/>
        <v>0.0651614071401525</v>
      </c>
      <c r="AW15" s="28">
        <f t="shared" si="6"/>
        <v>0.06278988235521846</v>
      </c>
      <c r="AX15" s="28">
        <f t="shared" si="7"/>
        <v>0.06774839687357243</v>
      </c>
      <c r="AY15" s="28">
        <f>(B17+C17)/($B$32+$C$32)</f>
        <v>0.06769622369120888</v>
      </c>
      <c r="AZ15" s="28">
        <f>D17</f>
        <v>0.06582154903806245</v>
      </c>
      <c r="BA15" s="28">
        <f>E17</f>
        <v>0.06972633004988478</v>
      </c>
      <c r="BB15" s="23" t="s">
        <v>147</v>
      </c>
      <c r="BC15" s="22" t="s">
        <v>12</v>
      </c>
      <c r="BD15" s="25" t="s">
        <v>139</v>
      </c>
      <c r="BE15" s="26">
        <f t="shared" si="43"/>
        <v>50314.801471407874</v>
      </c>
      <c r="BF15" s="26">
        <f t="shared" si="44"/>
        <v>52130.660340580485</v>
      </c>
      <c r="BG15" s="28">
        <f t="shared" si="18"/>
        <v>0.0682060990412249</v>
      </c>
      <c r="BH15" s="28">
        <f t="shared" si="19"/>
        <v>0.07708816563340423</v>
      </c>
      <c r="BI15" s="23" t="s">
        <v>145</v>
      </c>
      <c r="BJ15" s="26">
        <f>B12+B13</f>
        <v>46452</v>
      </c>
      <c r="BK15" s="26">
        <f>C12+C13</f>
        <v>47857</v>
      </c>
      <c r="BL15" s="26">
        <f>H13*BJ15</f>
        <v>46181.1739528125</v>
      </c>
      <c r="BM15" s="26">
        <f>I13*BK15</f>
        <v>47524.173259140625</v>
      </c>
      <c r="BN15" s="26">
        <f aca="true" t="shared" si="45" ref="BN15:BN30">BE15-BL15</f>
        <v>4133.627518595371</v>
      </c>
      <c r="BO15" s="26">
        <f aca="true" t="shared" si="46" ref="BO15:BO30">BF15-BM15</f>
        <v>4606.48708143986</v>
      </c>
      <c r="BP15" s="23" t="s">
        <v>146</v>
      </c>
      <c r="BQ15" s="32">
        <v>1</v>
      </c>
      <c r="BR15" s="32">
        <v>1</v>
      </c>
      <c r="BS15" s="26">
        <f>(BQ15*H15*BE15)</f>
        <v>50242.00420084713</v>
      </c>
      <c r="BT15" s="26">
        <f>(BR15*I15*BF15)</f>
        <v>51995.50233102852</v>
      </c>
      <c r="BU15" s="28">
        <f t="shared" si="32"/>
        <v>-0.045251857073919974</v>
      </c>
      <c r="BV15" s="28">
        <f t="shared" si="33"/>
        <v>-0.09675229476591156</v>
      </c>
      <c r="BW15" s="26">
        <f t="shared" si="34"/>
        <v>-2273.5439932040213</v>
      </c>
      <c r="BX15" s="26">
        <f t="shared" si="35"/>
        <v>-5030.684168033313</v>
      </c>
      <c r="BY15" s="32">
        <v>1</v>
      </c>
      <c r="BZ15" s="32">
        <v>1</v>
      </c>
      <c r="CA15" s="26">
        <f t="shared" si="36"/>
        <v>-2273.5439932040213</v>
      </c>
      <c r="CB15" s="26">
        <f t="shared" si="37"/>
        <v>-5030.684168033313</v>
      </c>
      <c r="CC15" s="18">
        <v>0</v>
      </c>
      <c r="CD15" s="18">
        <v>0</v>
      </c>
      <c r="CE15" s="26">
        <f t="shared" si="38"/>
        <v>-2273.5439932040213</v>
      </c>
      <c r="CF15" s="26">
        <f t="shared" si="39"/>
        <v>-5030.684168033313</v>
      </c>
      <c r="CG15" s="34" t="s">
        <v>148</v>
      </c>
      <c r="CH15" s="35" t="s">
        <v>149</v>
      </c>
      <c r="CI15" s="35" t="s">
        <v>150</v>
      </c>
      <c r="CJ15" s="23" t="s">
        <v>147</v>
      </c>
      <c r="CK15" s="26">
        <f t="shared" si="8"/>
        <v>92916.05479089134</v>
      </c>
      <c r="CL15" s="26">
        <f>(BE16*F16*BQ15)+((CE15)/2)</f>
        <v>47090.53206625843</v>
      </c>
      <c r="CM15" s="26">
        <f>(BF16*G16*BR15)+((CF15)/2)</f>
        <v>45825.522724632916</v>
      </c>
      <c r="CN15" s="27">
        <f t="shared" si="9"/>
        <v>0.06432995594823385</v>
      </c>
      <c r="CO15" s="27">
        <f t="shared" si="10"/>
        <v>0.06210062425312748</v>
      </c>
      <c r="CP15" s="27">
        <f t="shared" si="11"/>
        <v>0.06679396394171443</v>
      </c>
      <c r="CQ15" s="23" t="s">
        <v>147</v>
      </c>
      <c r="CR15" s="26">
        <f t="shared" si="12"/>
        <v>94933.2783706383</v>
      </c>
      <c r="CS15" s="26">
        <f t="shared" si="40"/>
        <v>47968.460207643104</v>
      </c>
      <c r="CT15" s="26">
        <f t="shared" si="41"/>
        <v>46964.8181629952</v>
      </c>
      <c r="CU15" s="27">
        <f t="shared" si="13"/>
        <v>0.06356005919640594</v>
      </c>
      <c r="CV15" s="27">
        <f t="shared" si="14"/>
        <v>0.06126868031952852</v>
      </c>
      <c r="CW15" s="27">
        <f t="shared" si="15"/>
        <v>0.06608435452850202</v>
      </c>
      <c r="CX15" s="28">
        <f t="shared" si="20"/>
        <v>0.06516140714015252</v>
      </c>
      <c r="CY15" s="28">
        <f t="shared" si="21"/>
        <v>0.06278988235521846</v>
      </c>
      <c r="CZ15" s="28">
        <f t="shared" si="22"/>
        <v>0.06774839687357243</v>
      </c>
      <c r="DA15" s="23" t="s">
        <v>147</v>
      </c>
    </row>
    <row r="16" spans="1:105" ht="12">
      <c r="A16" s="23" t="s">
        <v>143</v>
      </c>
      <c r="B16" s="18">
        <v>49738</v>
      </c>
      <c r="C16" s="18">
        <v>51245</v>
      </c>
      <c r="D16" s="28">
        <f t="shared" si="16"/>
        <v>0.07269044375982836</v>
      </c>
      <c r="E16" s="28">
        <f t="shared" si="17"/>
        <v>0.0811023397736193</v>
      </c>
      <c r="F16" s="31">
        <v>0.9980515204069258</v>
      </c>
      <c r="G16" s="31">
        <v>0.9953935114303235</v>
      </c>
      <c r="H16" s="55">
        <v>0.9972205403736258</v>
      </c>
      <c r="I16" s="55">
        <v>0.9930426533151836</v>
      </c>
      <c r="J16" s="23" t="s">
        <v>151</v>
      </c>
      <c r="K16" s="18">
        <v>47858</v>
      </c>
      <c r="L16" s="18">
        <v>50281</v>
      </c>
      <c r="M16" s="26">
        <f>H14*K16</f>
        <v>47791.075980562615</v>
      </c>
      <c r="N16" s="26">
        <f>I14*L16</f>
        <v>50192.814486293384</v>
      </c>
      <c r="O16" s="26">
        <f>B16-M16</f>
        <v>1946.9240194373851</v>
      </c>
      <c r="P16" s="26">
        <f>C16-N16</f>
        <v>1052.185513706616</v>
      </c>
      <c r="Q16" s="23" t="s">
        <v>152</v>
      </c>
      <c r="R16" s="32">
        <v>1</v>
      </c>
      <c r="S16" s="32">
        <v>1</v>
      </c>
      <c r="T16" s="26">
        <f>(R16*H16*B16)</f>
        <v>49599.7552371034</v>
      </c>
      <c r="U16" s="26">
        <f>(S16*I16*C16)</f>
        <v>50888.470769136584</v>
      </c>
      <c r="V16" s="28">
        <f t="shared" si="23"/>
        <v>0.09279811850695625</v>
      </c>
      <c r="W16" s="28">
        <f t="shared" si="24"/>
        <v>-0.03230922055584631</v>
      </c>
      <c r="X16" s="26">
        <f t="shared" si="25"/>
        <v>4602.763964408746</v>
      </c>
      <c r="Y16" s="26">
        <f t="shared" si="26"/>
        <v>-1644.166825829772</v>
      </c>
      <c r="Z16" s="32">
        <v>1</v>
      </c>
      <c r="AA16" s="32">
        <v>1</v>
      </c>
      <c r="AB16" s="26">
        <f t="shared" si="27"/>
        <v>4602.763964408746</v>
      </c>
      <c r="AC16" s="26">
        <f t="shared" si="28"/>
        <v>-1644.166825829772</v>
      </c>
      <c r="AD16" s="18">
        <v>0</v>
      </c>
      <c r="AE16" s="18">
        <v>0</v>
      </c>
      <c r="AF16" s="26">
        <f t="shared" si="29"/>
        <v>4602.763964408746</v>
      </c>
      <c r="AG16" s="26">
        <f t="shared" si="30"/>
        <v>-1644.166825829772</v>
      </c>
      <c r="AH16" s="26">
        <f>B15+B16+B17+B18+B19+B20+B21+B22</f>
        <v>380086</v>
      </c>
      <c r="AI16" s="27">
        <f>(B12+B13+C12+C13)/AH16</f>
        <v>0.24812542424609169</v>
      </c>
      <c r="AJ16" s="27">
        <f>(B14+C14)/AH16</f>
        <v>0.24769657393326774</v>
      </c>
      <c r="AK16" s="23" t="s">
        <v>153</v>
      </c>
      <c r="AL16" s="26">
        <f t="shared" si="0"/>
        <v>90154.07174081424</v>
      </c>
      <c r="AM16" s="26">
        <f>(B17*F17*R16)+((AF16)/2)</f>
        <v>47227.349002635114</v>
      </c>
      <c r="AN16" s="26">
        <f>(C17*G17*S16)+((AG16)/2)</f>
        <v>42926.72273817912</v>
      </c>
      <c r="AO16" s="27">
        <f t="shared" si="1"/>
        <v>0.06642280946033073</v>
      </c>
      <c r="AP16" s="27">
        <f t="shared" si="2"/>
        <v>0.06669219385606572</v>
      </c>
      <c r="AQ16" s="27">
        <f t="shared" si="3"/>
        <v>0.06612893974926821</v>
      </c>
      <c r="AR16" s="23" t="s">
        <v>153</v>
      </c>
      <c r="AS16" s="26">
        <f t="shared" si="4"/>
        <v>103446.82314481896</v>
      </c>
      <c r="AT16" s="26">
        <f>T16+AF16</f>
        <v>54202.51920151215</v>
      </c>
      <c r="AU16" s="26">
        <f t="shared" si="31"/>
        <v>49244.30394330681</v>
      </c>
      <c r="AV16" s="28">
        <f t="shared" si="5"/>
        <v>0.07316236267518589</v>
      </c>
      <c r="AW16" s="28">
        <f t="shared" si="6"/>
        <v>0.07347623929397941</v>
      </c>
      <c r="AX16" s="28">
        <f t="shared" si="7"/>
        <v>0.07281996878770144</v>
      </c>
      <c r="AY16" s="28">
        <f>(B18+C18)/($B$32+$C$32)</f>
        <v>0.06950991565990426</v>
      </c>
      <c r="AZ16" s="28">
        <f>D18</f>
        <v>0.06909231209919268</v>
      </c>
      <c r="BA16" s="28">
        <f>E18</f>
        <v>0.06996214327315084</v>
      </c>
      <c r="BB16" s="23" t="s">
        <v>153</v>
      </c>
      <c r="BC16" s="22" t="s">
        <v>12</v>
      </c>
      <c r="BD16" s="25" t="s">
        <v>143</v>
      </c>
      <c r="BE16" s="26">
        <f t="shared" si="43"/>
        <v>48321.45743658322</v>
      </c>
      <c r="BF16" s="26">
        <f t="shared" si="44"/>
        <v>48564.576977387085</v>
      </c>
      <c r="BG16" s="28">
        <f t="shared" si="18"/>
        <v>0.06550394745388842</v>
      </c>
      <c r="BH16" s="28">
        <f t="shared" si="19"/>
        <v>0.07181482316721673</v>
      </c>
      <c r="BI16" s="23" t="s">
        <v>151</v>
      </c>
      <c r="BJ16" s="26">
        <f>B14</f>
        <v>46495</v>
      </c>
      <c r="BK16" s="26">
        <f>C14</f>
        <v>47651</v>
      </c>
      <c r="BL16" s="26">
        <f>H14*BJ16</f>
        <v>46429.98198245348</v>
      </c>
      <c r="BM16" s="26">
        <f>I14*BK16</f>
        <v>47567.42712130558</v>
      </c>
      <c r="BN16" s="26">
        <f t="shared" si="45"/>
        <v>1891.4754541297443</v>
      </c>
      <c r="BO16" s="26">
        <f t="shared" si="46"/>
        <v>997.1498560815016</v>
      </c>
      <c r="BP16" s="23" t="s">
        <v>152</v>
      </c>
      <c r="BQ16" s="32">
        <v>1</v>
      </c>
      <c r="BR16" s="32">
        <v>1</v>
      </c>
      <c r="BS16" s="26">
        <f>(BQ16*H16*BE16)</f>
        <v>48187.14989655068</v>
      </c>
      <c r="BT16" s="26">
        <f>(BR16*I16*BF16)</f>
        <v>48226.69637875395</v>
      </c>
      <c r="BU16" s="28">
        <f t="shared" si="32"/>
        <v>0.09279811850695627</v>
      </c>
      <c r="BV16" s="28">
        <f t="shared" si="33"/>
        <v>-0.03230922055584632</v>
      </c>
      <c r="BW16" s="26">
        <f t="shared" si="34"/>
        <v>4471.676846612576</v>
      </c>
      <c r="BX16" s="26">
        <f t="shared" si="35"/>
        <v>-1558.1669699809963</v>
      </c>
      <c r="BY16" s="32">
        <v>1</v>
      </c>
      <c r="BZ16" s="32">
        <v>1</v>
      </c>
      <c r="CA16" s="26">
        <f t="shared" si="36"/>
        <v>4471.676846612576</v>
      </c>
      <c r="CB16" s="26">
        <f t="shared" si="37"/>
        <v>-1558.1669699809963</v>
      </c>
      <c r="CC16" s="18">
        <v>0</v>
      </c>
      <c r="CD16" s="18">
        <v>0</v>
      </c>
      <c r="CE16" s="26">
        <f t="shared" si="38"/>
        <v>4471.676846612576</v>
      </c>
      <c r="CF16" s="26">
        <f t="shared" si="39"/>
        <v>-1558.1669699809963</v>
      </c>
      <c r="CG16" s="26">
        <f>BE15+BE16+BE17+BE18+BE19+BE20+BE21+BE22</f>
        <v>390683.2638108601</v>
      </c>
      <c r="CH16" s="27">
        <f>(BE12+BE13+BF12+BF13)/CG16</f>
        <v>0.2481254242460917</v>
      </c>
      <c r="CI16" s="27">
        <f>(BE14+BF14)/CG16</f>
        <v>0.24769657393326774</v>
      </c>
      <c r="CJ16" s="23" t="s">
        <v>153</v>
      </c>
      <c r="CK16" s="26">
        <f t="shared" si="8"/>
        <v>93155.03761260452</v>
      </c>
      <c r="CL16" s="26">
        <f>(BE17*F17*BQ16)+((CE16)/2)</f>
        <v>48439.94307154888</v>
      </c>
      <c r="CM16" s="26">
        <f>(BF17*G17*BR16)+((CF16)/2)</f>
        <v>44715.09454105564</v>
      </c>
      <c r="CN16" s="27">
        <f t="shared" si="9"/>
        <v>0.06449541448419722</v>
      </c>
      <c r="CO16" s="27">
        <f t="shared" si="10"/>
        <v>0.0638801595891196</v>
      </c>
      <c r="CP16" s="27">
        <f t="shared" si="11"/>
        <v>0.06517543575820818</v>
      </c>
      <c r="CQ16" s="23" t="s">
        <v>153</v>
      </c>
      <c r="CR16" s="26">
        <f t="shared" si="12"/>
        <v>99327.35615193621</v>
      </c>
      <c r="CS16" s="26">
        <f t="shared" si="40"/>
        <v>52658.826743163256</v>
      </c>
      <c r="CT16" s="26">
        <f t="shared" si="41"/>
        <v>46668.529408772956</v>
      </c>
      <c r="CU16" s="27">
        <f t="shared" si="13"/>
        <v>0.06650199745753405</v>
      </c>
      <c r="CV16" s="27">
        <f t="shared" si="14"/>
        <v>0.06725954528793145</v>
      </c>
      <c r="CW16" s="27">
        <f t="shared" si="15"/>
        <v>0.06566744562003192</v>
      </c>
      <c r="CX16" s="28">
        <f t="shared" si="20"/>
        <v>0.07316236267518592</v>
      </c>
      <c r="CY16" s="28">
        <f t="shared" si="21"/>
        <v>0.07347623929397941</v>
      </c>
      <c r="CZ16" s="28">
        <f t="shared" si="22"/>
        <v>0.07281996878770144</v>
      </c>
      <c r="DA16" s="23" t="s">
        <v>153</v>
      </c>
    </row>
    <row r="17" spans="1:105" ht="12">
      <c r="A17" s="23" t="s">
        <v>146</v>
      </c>
      <c r="B17" s="18">
        <v>45038</v>
      </c>
      <c r="C17" s="18">
        <v>44057</v>
      </c>
      <c r="D17" s="28">
        <f t="shared" si="16"/>
        <v>0.06582154903806245</v>
      </c>
      <c r="E17" s="28">
        <f t="shared" si="17"/>
        <v>0.06972633004988478</v>
      </c>
      <c r="F17" s="31">
        <v>0.9975124788052476</v>
      </c>
      <c r="G17" s="31">
        <v>0.9930046564925893</v>
      </c>
      <c r="H17" s="55">
        <v>0.9956955328710069</v>
      </c>
      <c r="I17" s="55">
        <v>0.988393743077873</v>
      </c>
      <c r="J17" s="23" t="s">
        <v>139</v>
      </c>
      <c r="K17" s="18">
        <v>47241</v>
      </c>
      <c r="L17" s="18">
        <v>48903</v>
      </c>
      <c r="M17" s="26">
        <f>H15*K17</f>
        <v>47172.65001633735</v>
      </c>
      <c r="N17" s="26">
        <f>I15*L17</f>
        <v>48776.2102739935</v>
      </c>
      <c r="O17" s="26">
        <f>B17-M17</f>
        <v>-2134.6500163373494</v>
      </c>
      <c r="P17" s="26">
        <f>C17-N17</f>
        <v>-4719.2102739935</v>
      </c>
      <c r="Q17" s="23" t="s">
        <v>154</v>
      </c>
      <c r="R17" s="32">
        <v>1</v>
      </c>
      <c r="S17" s="32">
        <v>1</v>
      </c>
      <c r="T17" s="26">
        <f>(R17*H17*B17)</f>
        <v>44844.13540944441</v>
      </c>
      <c r="U17" s="26">
        <f>(S17*I17*C17)</f>
        <v>43545.66313878185</v>
      </c>
      <c r="V17" s="28">
        <f t="shared" si="23"/>
        <v>0.11474093483436573</v>
      </c>
      <c r="W17" s="28">
        <f t="shared" si="24"/>
        <v>0.07555045847321963</v>
      </c>
      <c r="X17" s="26">
        <f t="shared" si="25"/>
        <v>5145.458018718534</v>
      </c>
      <c r="Y17" s="26">
        <f t="shared" si="26"/>
        <v>3289.894814655349</v>
      </c>
      <c r="Z17" s="32">
        <v>1</v>
      </c>
      <c r="AA17" s="32">
        <v>1</v>
      </c>
      <c r="AB17" s="26">
        <f t="shared" si="27"/>
        <v>5145.458018718534</v>
      </c>
      <c r="AC17" s="26">
        <f t="shared" si="28"/>
        <v>3289.894814655349</v>
      </c>
      <c r="AD17" s="18">
        <v>0</v>
      </c>
      <c r="AE17" s="18">
        <v>0</v>
      </c>
      <c r="AF17" s="26">
        <f t="shared" si="29"/>
        <v>5145.458018718534</v>
      </c>
      <c r="AG17" s="26">
        <f t="shared" si="30"/>
        <v>3289.894814655349</v>
      </c>
      <c r="AI17" s="27"/>
      <c r="AJ17" s="27"/>
      <c r="AK17" s="23" t="s">
        <v>155</v>
      </c>
      <c r="AL17" s="26">
        <f t="shared" si="0"/>
        <v>95274.5786632384</v>
      </c>
      <c r="AM17" s="26">
        <f>(B18*F18*R17)+((AF17)/2)</f>
        <v>49717.9195066056</v>
      </c>
      <c r="AN17" s="26">
        <f>(C18*G18*S17)+((AG17)/2)</f>
        <v>45556.6591566328</v>
      </c>
      <c r="AO17" s="27">
        <f t="shared" si="1"/>
        <v>0.07019544500613611</v>
      </c>
      <c r="AP17" s="27">
        <f t="shared" si="2"/>
        <v>0.07020925789566979</v>
      </c>
      <c r="AQ17" s="27">
        <f t="shared" si="3"/>
        <v>0.07018037661345838</v>
      </c>
      <c r="AR17" s="23" t="s">
        <v>155</v>
      </c>
      <c r="AS17" s="26">
        <f t="shared" si="4"/>
        <v>96825.15138160015</v>
      </c>
      <c r="AT17" s="26">
        <f t="shared" si="42"/>
        <v>49989.593428162945</v>
      </c>
      <c r="AU17" s="26">
        <f t="shared" si="31"/>
        <v>46835.5579534372</v>
      </c>
      <c r="AV17" s="28">
        <f t="shared" si="5"/>
        <v>0.06847921111645273</v>
      </c>
      <c r="AW17" s="28">
        <f t="shared" si="6"/>
        <v>0.06776525119212486</v>
      </c>
      <c r="AX17" s="28">
        <f t="shared" si="7"/>
        <v>0.06925803788901835</v>
      </c>
      <c r="AY17" s="28">
        <f>(B19+C19)/($B$32+$C$32)</f>
        <v>0.06710356355900007</v>
      </c>
      <c r="AZ17" s="28">
        <f>D19</f>
        <v>0.06694103273101408</v>
      </c>
      <c r="BA17" s="28">
        <f>E19</f>
        <v>0.06727957002861411</v>
      </c>
      <c r="BB17" s="23" t="s">
        <v>155</v>
      </c>
      <c r="BC17" s="22" t="s">
        <v>12</v>
      </c>
      <c r="BD17" s="25" t="s">
        <v>146</v>
      </c>
      <c r="BE17" s="26">
        <f t="shared" si="43"/>
        <v>46319.324950784285</v>
      </c>
      <c r="BF17" s="26">
        <f t="shared" si="44"/>
        <v>45814.66736192053</v>
      </c>
      <c r="BG17" s="28">
        <f t="shared" si="18"/>
        <v>0.06278988235521846</v>
      </c>
      <c r="BH17" s="28">
        <f t="shared" si="19"/>
        <v>0.06774839687357243</v>
      </c>
      <c r="BI17" s="23" t="s">
        <v>139</v>
      </c>
      <c r="BJ17" s="26">
        <f>B15</f>
        <v>48585</v>
      </c>
      <c r="BK17" s="26">
        <f>C15</f>
        <v>50854</v>
      </c>
      <c r="BL17" s="26">
        <f>H15*BJ17</f>
        <v>48514.705468634245</v>
      </c>
      <c r="BM17" s="26">
        <f>I15*BK17</f>
        <v>50722.15195946395</v>
      </c>
      <c r="BN17" s="26">
        <f t="shared" si="45"/>
        <v>-2195.3805178499606</v>
      </c>
      <c r="BO17" s="26">
        <f t="shared" si="46"/>
        <v>-4907.484597543415</v>
      </c>
      <c r="BP17" s="23" t="s">
        <v>154</v>
      </c>
      <c r="BQ17" s="32">
        <v>1</v>
      </c>
      <c r="BR17" s="32">
        <v>1</v>
      </c>
      <c r="BS17" s="26">
        <f>(BQ17*H17*BE17)</f>
        <v>46119.94493909648</v>
      </c>
      <c r="BT17" s="26">
        <f>(BR17*I17*BF17)</f>
        <v>45282.9305617163</v>
      </c>
      <c r="BU17" s="28">
        <f t="shared" si="32"/>
        <v>0.11474093483436575</v>
      </c>
      <c r="BV17" s="28">
        <f t="shared" si="33"/>
        <v>0.0755504584732197</v>
      </c>
      <c r="BW17" s="26">
        <f t="shared" si="34"/>
        <v>5291.845596821406</v>
      </c>
      <c r="BX17" s="26">
        <f t="shared" si="35"/>
        <v>3421.146164948638</v>
      </c>
      <c r="BY17" s="32">
        <v>1</v>
      </c>
      <c r="BZ17" s="32">
        <v>1</v>
      </c>
      <c r="CA17" s="26">
        <f t="shared" si="36"/>
        <v>5291.845596821406</v>
      </c>
      <c r="CB17" s="26">
        <f t="shared" si="37"/>
        <v>3421.146164948638</v>
      </c>
      <c r="CC17" s="18">
        <v>0</v>
      </c>
      <c r="CD17" s="18">
        <v>0</v>
      </c>
      <c r="CE17" s="26">
        <f t="shared" si="38"/>
        <v>5291.845596821406</v>
      </c>
      <c r="CF17" s="26">
        <f t="shared" si="39"/>
        <v>3421.146164948638</v>
      </c>
      <c r="CG17" s="26"/>
      <c r="CJ17" s="23" t="s">
        <v>155</v>
      </c>
      <c r="CK17" s="26">
        <f t="shared" si="8"/>
        <v>107325.51505618493</v>
      </c>
      <c r="CL17" s="26">
        <f>(BE18*F18*BQ17)+((CE17)/2)</f>
        <v>56698.46728580267</v>
      </c>
      <c r="CM17" s="26">
        <f>(BF18*G18*BR17)+((CF17)/2)</f>
        <v>50627.04777038226</v>
      </c>
      <c r="CN17" s="27">
        <f t="shared" si="9"/>
        <v>0.07430627216387922</v>
      </c>
      <c r="CO17" s="27">
        <f t="shared" si="10"/>
        <v>0.07477108578194991</v>
      </c>
      <c r="CP17" s="27">
        <f t="shared" si="11"/>
        <v>0.07379252875238107</v>
      </c>
      <c r="CQ17" s="23" t="s">
        <v>155</v>
      </c>
      <c r="CR17" s="26">
        <f t="shared" si="12"/>
        <v>100115.86726258282</v>
      </c>
      <c r="CS17" s="26">
        <f t="shared" si="40"/>
        <v>51411.790535917884</v>
      </c>
      <c r="CT17" s="26">
        <f t="shared" si="41"/>
        <v>48704.076726664935</v>
      </c>
      <c r="CU17" s="27">
        <f t="shared" si="13"/>
        <v>0.06702992416279384</v>
      </c>
      <c r="CV17" s="27">
        <f t="shared" si="14"/>
        <v>0.06566674321761566</v>
      </c>
      <c r="CW17" s="27">
        <f t="shared" si="15"/>
        <v>0.06853167113770048</v>
      </c>
      <c r="CX17" s="28">
        <f t="shared" si="20"/>
        <v>0.06847921111645276</v>
      </c>
      <c r="CY17" s="28">
        <f t="shared" si="21"/>
        <v>0.06776525119212486</v>
      </c>
      <c r="CZ17" s="28">
        <f t="shared" si="22"/>
        <v>0.06925803788901835</v>
      </c>
      <c r="DA17" s="23" t="s">
        <v>155</v>
      </c>
    </row>
    <row r="18" spans="1:105" ht="12">
      <c r="A18" s="23" t="s">
        <v>152</v>
      </c>
      <c r="B18" s="18">
        <v>47276</v>
      </c>
      <c r="C18" s="18">
        <v>44206</v>
      </c>
      <c r="D18" s="28">
        <f t="shared" si="16"/>
        <v>0.06909231209919268</v>
      </c>
      <c r="E18" s="28">
        <f t="shared" si="17"/>
        <v>0.06996214327315084</v>
      </c>
      <c r="F18" s="31">
        <v>0.9972330674601559</v>
      </c>
      <c r="G18" s="31">
        <v>0.9933427984731739</v>
      </c>
      <c r="H18" s="55">
        <v>0.9942496277182745</v>
      </c>
      <c r="I18" s="55">
        <v>0.9862885235733871</v>
      </c>
      <c r="J18" s="23" t="s">
        <v>143</v>
      </c>
      <c r="K18" s="18">
        <v>43382</v>
      </c>
      <c r="L18" s="18">
        <v>46002</v>
      </c>
      <c r="M18" s="26">
        <f>H16*K18</f>
        <v>43261.42148248864</v>
      </c>
      <c r="N18" s="26">
        <f>I16*L18</f>
        <v>45681.94813780508</v>
      </c>
      <c r="O18" s="26">
        <f>B18-M18</f>
        <v>4014.5785175113633</v>
      </c>
      <c r="P18" s="26">
        <f>C18-N18</f>
        <v>-1475.9481378050768</v>
      </c>
      <c r="Q18" s="23" t="s">
        <v>156</v>
      </c>
      <c r="R18" s="32">
        <v>1</v>
      </c>
      <c r="S18" s="32">
        <v>1</v>
      </c>
      <c r="T18" s="26">
        <f>(R18*H18*B18)</f>
        <v>47004.14540000915</v>
      </c>
      <c r="U18" s="26">
        <f>(S18*I18*C18)</f>
        <v>43599.87047308515</v>
      </c>
      <c r="V18" s="28">
        <f t="shared" si="23"/>
        <v>0.029252208281935387</v>
      </c>
      <c r="W18" s="28">
        <f t="shared" si="24"/>
        <v>0.00961655792872949</v>
      </c>
      <c r="X18" s="26">
        <f t="shared" si="25"/>
        <v>1374.9750513554427</v>
      </c>
      <c r="Y18" s="26">
        <f t="shared" si="26"/>
        <v>419.28068008952584</v>
      </c>
      <c r="Z18" s="32">
        <v>1</v>
      </c>
      <c r="AA18" s="32">
        <v>1</v>
      </c>
      <c r="AB18" s="26">
        <f t="shared" si="27"/>
        <v>1374.9750513554427</v>
      </c>
      <c r="AC18" s="26">
        <f t="shared" si="28"/>
        <v>419.28068008952584</v>
      </c>
      <c r="AD18" s="18">
        <v>0</v>
      </c>
      <c r="AE18" s="18">
        <v>0</v>
      </c>
      <c r="AF18" s="26">
        <f t="shared" si="29"/>
        <v>1374.9750513554427</v>
      </c>
      <c r="AG18" s="26">
        <f t="shared" si="30"/>
        <v>419.28068008952584</v>
      </c>
      <c r="AI18" s="35" t="s">
        <v>248</v>
      </c>
      <c r="AJ18" s="35" t="s">
        <v>248</v>
      </c>
      <c r="AK18" s="23" t="s">
        <v>157</v>
      </c>
      <c r="AL18" s="26">
        <f t="shared" si="0"/>
        <v>88729.63390005827</v>
      </c>
      <c r="AM18" s="26">
        <f>(B19*F19*R18)+((AF18)/2)</f>
        <v>46324.5468370734</v>
      </c>
      <c r="AN18" s="26">
        <f>(C19*G19*S18)+((AG18)/2)</f>
        <v>42405.087062984865</v>
      </c>
      <c r="AO18" s="27">
        <f t="shared" si="1"/>
        <v>0.06537332648682034</v>
      </c>
      <c r="AP18" s="27">
        <f t="shared" si="2"/>
        <v>0.06541730000089806</v>
      </c>
      <c r="AQ18" s="27">
        <f t="shared" si="3"/>
        <v>0.06532535606210009</v>
      </c>
      <c r="AR18" s="23" t="s">
        <v>157</v>
      </c>
      <c r="AS18" s="26">
        <f t="shared" si="4"/>
        <v>92398.27160453927</v>
      </c>
      <c r="AT18" s="26">
        <f t="shared" si="42"/>
        <v>48379.12045136459</v>
      </c>
      <c r="AU18" s="26">
        <f t="shared" si="31"/>
        <v>44019.15115317468</v>
      </c>
      <c r="AV18" s="28">
        <f t="shared" si="5"/>
        <v>0.06534831763975929</v>
      </c>
      <c r="AW18" s="28">
        <f t="shared" si="6"/>
        <v>0.06558211469657205</v>
      </c>
      <c r="AX18" s="28">
        <f t="shared" si="7"/>
        <v>0.06509327894502556</v>
      </c>
      <c r="AY18" s="28">
        <f>(B20+C20)/($B$32+$C$32)</f>
        <v>0.06849251576627916</v>
      </c>
      <c r="AZ18" s="28">
        <f>D20</f>
        <v>0.06838934649043324</v>
      </c>
      <c r="BA18" s="28">
        <f>E20</f>
        <v>0.06860423894051809</v>
      </c>
      <c r="BB18" s="23" t="s">
        <v>157</v>
      </c>
      <c r="BC18" s="22" t="s">
        <v>12</v>
      </c>
      <c r="BD18" s="25" t="s">
        <v>152</v>
      </c>
      <c r="BE18" s="26">
        <f t="shared" si="43"/>
        <v>54202.51920151215</v>
      </c>
      <c r="BF18" s="26">
        <f t="shared" si="44"/>
        <v>49244.30394330681</v>
      </c>
      <c r="BG18" s="28">
        <f t="shared" si="18"/>
        <v>0.07347623929397941</v>
      </c>
      <c r="BH18" s="28">
        <f t="shared" si="19"/>
        <v>0.07281996878770144</v>
      </c>
      <c r="BI18" s="23" t="s">
        <v>143</v>
      </c>
      <c r="BJ18" s="26">
        <f>B16</f>
        <v>49738</v>
      </c>
      <c r="BK18" s="26">
        <f>C16</f>
        <v>51245</v>
      </c>
      <c r="BL18" s="26">
        <f>H16*BJ18</f>
        <v>49599.7552371034</v>
      </c>
      <c r="BM18" s="26">
        <f>I16*BK18</f>
        <v>50888.470769136584</v>
      </c>
      <c r="BN18" s="26">
        <f t="shared" si="45"/>
        <v>4602.763964408747</v>
      </c>
      <c r="BO18" s="26">
        <f t="shared" si="46"/>
        <v>-1644.1668258297723</v>
      </c>
      <c r="BP18" s="23" t="s">
        <v>156</v>
      </c>
      <c r="BQ18" s="32">
        <v>1</v>
      </c>
      <c r="BR18" s="32">
        <v>1</v>
      </c>
      <c r="BS18" s="26">
        <f>(BQ18*H18*BE18)</f>
        <v>53890.834537496085</v>
      </c>
      <c r="BT18" s="26">
        <f>(BR18*I18*BF18)</f>
        <v>48569.0918306432</v>
      </c>
      <c r="BU18" s="28">
        <f t="shared" si="32"/>
        <v>0.029252208281935463</v>
      </c>
      <c r="BV18" s="28">
        <f t="shared" si="33"/>
        <v>0.009616557928729515</v>
      </c>
      <c r="BW18" s="26">
        <f t="shared" si="34"/>
        <v>1576.4259163781567</v>
      </c>
      <c r="BX18" s="26">
        <f t="shared" si="35"/>
        <v>467.06748513516374</v>
      </c>
      <c r="BY18" s="32">
        <v>1</v>
      </c>
      <c r="BZ18" s="32">
        <v>1</v>
      </c>
      <c r="CA18" s="26">
        <f t="shared" si="36"/>
        <v>1576.4259163781567</v>
      </c>
      <c r="CB18" s="26">
        <f t="shared" si="37"/>
        <v>467.06748513516374</v>
      </c>
      <c r="CC18" s="18">
        <v>0</v>
      </c>
      <c r="CD18" s="18">
        <v>0</v>
      </c>
      <c r="CE18" s="26">
        <f t="shared" si="38"/>
        <v>1576.4259163781567</v>
      </c>
      <c r="CF18" s="26">
        <f t="shared" si="39"/>
        <v>467.06748513516374</v>
      </c>
      <c r="CG18" s="26"/>
      <c r="CH18" s="35" t="s">
        <v>158</v>
      </c>
      <c r="CI18" s="35" t="s">
        <v>158</v>
      </c>
      <c r="CJ18" s="23" t="s">
        <v>157</v>
      </c>
      <c r="CK18" s="26">
        <f t="shared" si="8"/>
        <v>97317.04839348957</v>
      </c>
      <c r="CL18" s="26">
        <f>(BE19*F19*BQ18)+((CE18)/2)</f>
        <v>50595.61057048556</v>
      </c>
      <c r="CM18" s="26">
        <f>(BF19*G19*BR18)+((CF18)/2)</f>
        <v>46721.43782300402</v>
      </c>
      <c r="CN18" s="27">
        <f t="shared" si="9"/>
        <v>0.0673769613900895</v>
      </c>
      <c r="CO18" s="27">
        <f t="shared" si="10"/>
        <v>0.06672294542084024</v>
      </c>
      <c r="CP18" s="27">
        <f t="shared" si="11"/>
        <v>0.06809982402180621</v>
      </c>
      <c r="CQ18" s="23" t="s">
        <v>157</v>
      </c>
      <c r="CR18" s="26">
        <f t="shared" si="12"/>
        <v>104503.4197696526</v>
      </c>
      <c r="CS18" s="26">
        <f t="shared" si="40"/>
        <v>55467.26045387424</v>
      </c>
      <c r="CT18" s="26">
        <f t="shared" si="41"/>
        <v>49036.159315778365</v>
      </c>
      <c r="CU18" s="27">
        <f t="shared" si="13"/>
        <v>0.06996749359959259</v>
      </c>
      <c r="CV18" s="27">
        <f t="shared" si="14"/>
        <v>0.07084667371513749</v>
      </c>
      <c r="CW18" s="27">
        <f t="shared" si="15"/>
        <v>0.06899894567234366</v>
      </c>
      <c r="CX18" s="28">
        <f t="shared" si="20"/>
        <v>0.06534831763975932</v>
      </c>
      <c r="CY18" s="28">
        <f t="shared" si="21"/>
        <v>0.06558211469657205</v>
      </c>
      <c r="CZ18" s="28">
        <f t="shared" si="22"/>
        <v>0.06509327894502556</v>
      </c>
      <c r="DA18" s="23" t="s">
        <v>157</v>
      </c>
    </row>
    <row r="19" spans="1:105" ht="12">
      <c r="A19" s="23" t="s">
        <v>154</v>
      </c>
      <c r="B19" s="18">
        <v>45804</v>
      </c>
      <c r="C19" s="18">
        <v>42511</v>
      </c>
      <c r="D19" s="28">
        <f t="shared" si="16"/>
        <v>0.06694103273101408</v>
      </c>
      <c r="E19" s="28">
        <f t="shared" si="17"/>
        <v>0.06727957002861411</v>
      </c>
      <c r="F19" s="31">
        <v>0.9963553251112497</v>
      </c>
      <c r="G19" s="31">
        <v>0.9925771382216393</v>
      </c>
      <c r="H19" s="55">
        <v>0.992341779085462</v>
      </c>
      <c r="I19" s="55">
        <v>0.9849212896805328</v>
      </c>
      <c r="J19" s="23" t="s">
        <v>146</v>
      </c>
      <c r="K19" s="18">
        <v>41267</v>
      </c>
      <c r="L19" s="18">
        <v>39989</v>
      </c>
      <c r="M19" s="26">
        <f>H17*K19</f>
        <v>41089.36755498784</v>
      </c>
      <c r="N19" s="26">
        <f>I17*L19</f>
        <v>39524.87739194106</v>
      </c>
      <c r="O19" s="26">
        <f>B19-M19</f>
        <v>4714.632445012161</v>
      </c>
      <c r="P19" s="26">
        <f>C19-N19</f>
        <v>2986.1226080589404</v>
      </c>
      <c r="Q19" s="23" t="s">
        <v>159</v>
      </c>
      <c r="R19" s="32">
        <v>1</v>
      </c>
      <c r="S19" s="32">
        <v>1</v>
      </c>
      <c r="T19" s="26">
        <f>(R19*H19*B19)</f>
        <v>45453.2228492305</v>
      </c>
      <c r="U19" s="26">
        <f>(S19*I19*C19)</f>
        <v>41869.98894560913</v>
      </c>
      <c r="V19" s="28">
        <f t="shared" si="23"/>
        <v>0.029049936011011728</v>
      </c>
      <c r="W19" s="28">
        <f t="shared" si="24"/>
        <v>0.005553522070714147</v>
      </c>
      <c r="X19" s="26">
        <f t="shared" si="25"/>
        <v>1320.4132152644022</v>
      </c>
      <c r="Y19" s="26">
        <f t="shared" si="26"/>
        <v>232.52590770999768</v>
      </c>
      <c r="Z19" s="32">
        <v>1</v>
      </c>
      <c r="AA19" s="32">
        <v>1</v>
      </c>
      <c r="AB19" s="26">
        <f t="shared" si="27"/>
        <v>1320.4132152644022</v>
      </c>
      <c r="AC19" s="26">
        <f t="shared" si="28"/>
        <v>232.52590770999768</v>
      </c>
      <c r="AD19" s="18">
        <v>0</v>
      </c>
      <c r="AE19" s="18">
        <v>0</v>
      </c>
      <c r="AF19" s="26">
        <f t="shared" si="29"/>
        <v>1320.4132152644022</v>
      </c>
      <c r="AG19" s="26">
        <f t="shared" si="30"/>
        <v>232.52590770999768</v>
      </c>
      <c r="AI19" s="35" t="s">
        <v>160</v>
      </c>
      <c r="AJ19" s="35" t="s">
        <v>160</v>
      </c>
      <c r="AK19" s="23" t="s">
        <v>161</v>
      </c>
      <c r="AL19" s="26">
        <f t="shared" si="0"/>
        <v>90212.76323187667</v>
      </c>
      <c r="AM19" s="26">
        <f>(B20*F20*R19)+((AF19)/2)</f>
        <v>47186.0548127094</v>
      </c>
      <c r="AN19" s="26">
        <f>(C20*G20*S19)+((AG19)/2)</f>
        <v>43026.70841916727</v>
      </c>
      <c r="AO19" s="27">
        <f t="shared" si="1"/>
        <v>0.06646605158631025</v>
      </c>
      <c r="AP19" s="27">
        <f t="shared" si="2"/>
        <v>0.06663388018447891</v>
      </c>
      <c r="AQ19" s="27">
        <f t="shared" si="3"/>
        <v>0.06628296844403214</v>
      </c>
      <c r="AR19" s="23" t="s">
        <v>161</v>
      </c>
      <c r="AS19" s="26">
        <f t="shared" si="4"/>
        <v>88876.15091781403</v>
      </c>
      <c r="AT19" s="26">
        <f t="shared" si="42"/>
        <v>46773.6360644949</v>
      </c>
      <c r="AU19" s="26">
        <f t="shared" si="31"/>
        <v>42102.51485331913</v>
      </c>
      <c r="AV19" s="28">
        <f t="shared" si="5"/>
        <v>0.06285731150506899</v>
      </c>
      <c r="AW19" s="28">
        <f t="shared" si="6"/>
        <v>0.06340574066949371</v>
      </c>
      <c r="AX19" s="28">
        <f t="shared" si="7"/>
        <v>0.062259054794075265</v>
      </c>
      <c r="AY19" s="28">
        <f>(B21+C21)/($B$32+$C$32)</f>
        <v>0.06787022262745993</v>
      </c>
      <c r="AZ19" s="28">
        <f>D21</f>
        <v>0.06803128708472417</v>
      </c>
      <c r="BA19" s="28">
        <f>E21</f>
        <v>0.06769580410726495</v>
      </c>
      <c r="BB19" s="23" t="s">
        <v>161</v>
      </c>
      <c r="BC19" s="22" t="s">
        <v>12</v>
      </c>
      <c r="BD19" s="25" t="s">
        <v>154</v>
      </c>
      <c r="BE19" s="26">
        <f t="shared" si="43"/>
        <v>49989.593428162945</v>
      </c>
      <c r="BF19" s="26">
        <f t="shared" si="44"/>
        <v>46835.5579534372</v>
      </c>
      <c r="BG19" s="28">
        <f t="shared" si="18"/>
        <v>0.06776525119212486</v>
      </c>
      <c r="BH19" s="28">
        <f t="shared" si="19"/>
        <v>0.06925803788901835</v>
      </c>
      <c r="BI19" s="23" t="s">
        <v>146</v>
      </c>
      <c r="BJ19" s="26">
        <f>B17</f>
        <v>45038</v>
      </c>
      <c r="BK19" s="26">
        <f>C17</f>
        <v>44057</v>
      </c>
      <c r="BL19" s="26">
        <f>H17*BJ19</f>
        <v>44844.13540944441</v>
      </c>
      <c r="BM19" s="26">
        <f>I17*BK19</f>
        <v>43545.66313878185</v>
      </c>
      <c r="BN19" s="26">
        <f t="shared" si="45"/>
        <v>5145.458018718535</v>
      </c>
      <c r="BO19" s="26">
        <f t="shared" si="46"/>
        <v>3289.894814655352</v>
      </c>
      <c r="BP19" s="23" t="s">
        <v>159</v>
      </c>
      <c r="BQ19" s="32">
        <v>1</v>
      </c>
      <c r="BR19" s="32">
        <v>1</v>
      </c>
      <c r="BS19" s="26">
        <f>(BQ19*H19*BE19)</f>
        <v>49606.76207826213</v>
      </c>
      <c r="BT19" s="26">
        <f>(BR19*I19*BF19)</f>
        <v>46129.338142406705</v>
      </c>
      <c r="BU19" s="28">
        <f t="shared" si="32"/>
        <v>0.029049936011011714</v>
      </c>
      <c r="BV19" s="28">
        <f t="shared" si="33"/>
        <v>0.005553522070714158</v>
      </c>
      <c r="BW19" s="26">
        <f t="shared" si="34"/>
        <v>1441.0732640869974</v>
      </c>
      <c r="BX19" s="26">
        <f t="shared" si="35"/>
        <v>256.18029748129203</v>
      </c>
      <c r="BY19" s="32">
        <v>1</v>
      </c>
      <c r="BZ19" s="32">
        <v>1</v>
      </c>
      <c r="CA19" s="26">
        <f t="shared" si="36"/>
        <v>1441.0732640869974</v>
      </c>
      <c r="CB19" s="26">
        <f t="shared" si="37"/>
        <v>256.18029748129203</v>
      </c>
      <c r="CC19" s="18">
        <v>0</v>
      </c>
      <c r="CD19" s="18">
        <v>0</v>
      </c>
      <c r="CE19" s="26">
        <f t="shared" si="38"/>
        <v>1441.0732640869974</v>
      </c>
      <c r="CF19" s="26">
        <f t="shared" si="39"/>
        <v>256.18029748129203</v>
      </c>
      <c r="CG19" s="26"/>
      <c r="CH19" s="35" t="s">
        <v>162</v>
      </c>
      <c r="CI19" s="35" t="s">
        <v>163</v>
      </c>
      <c r="CJ19" s="23" t="s">
        <v>161</v>
      </c>
      <c r="CK19" s="26">
        <f t="shared" si="8"/>
        <v>92524.30603948823</v>
      </c>
      <c r="CL19" s="26">
        <f>(BE20*F20*BQ19)+((CE19)/2)</f>
        <v>48821.39386925549</v>
      </c>
      <c r="CM19" s="26">
        <f>(BF20*G20*BR19)+((CF19)/2)</f>
        <v>43702.912170232754</v>
      </c>
      <c r="CN19" s="27">
        <f t="shared" si="9"/>
        <v>0.0640587307011304</v>
      </c>
      <c r="CO19" s="27">
        <f t="shared" si="10"/>
        <v>0.06438319770782473</v>
      </c>
      <c r="CP19" s="27">
        <f t="shared" si="11"/>
        <v>0.06370010784573811</v>
      </c>
      <c r="CQ19" s="23" t="s">
        <v>161</v>
      </c>
      <c r="CR19" s="26">
        <f t="shared" si="12"/>
        <v>97433.35378223713</v>
      </c>
      <c r="CS19" s="26">
        <f t="shared" si="40"/>
        <v>51047.83534234913</v>
      </c>
      <c r="CT19" s="26">
        <f t="shared" si="41"/>
        <v>46385.518439887994</v>
      </c>
      <c r="CU19" s="27">
        <f t="shared" si="13"/>
        <v>0.06523391839398156</v>
      </c>
      <c r="CV19" s="27">
        <f t="shared" si="14"/>
        <v>0.06520187412845022</v>
      </c>
      <c r="CW19" s="27">
        <f t="shared" si="15"/>
        <v>0.0652692199282313</v>
      </c>
      <c r="CX19" s="28">
        <f t="shared" si="20"/>
        <v>0.062857311505069</v>
      </c>
      <c r="CY19" s="28">
        <f t="shared" si="21"/>
        <v>0.06340574066949371</v>
      </c>
      <c r="CZ19" s="28">
        <f t="shared" si="22"/>
        <v>0.062259054794075265</v>
      </c>
      <c r="DA19" s="23" t="s">
        <v>161</v>
      </c>
    </row>
    <row r="20" spans="1:105" ht="12">
      <c r="A20" s="23" t="s">
        <v>156</v>
      </c>
      <c r="B20" s="18">
        <v>46795</v>
      </c>
      <c r="C20" s="18">
        <v>43348</v>
      </c>
      <c r="D20" s="28">
        <f t="shared" si="16"/>
        <v>0.06838934649043324</v>
      </c>
      <c r="E20" s="28">
        <f t="shared" si="17"/>
        <v>0.06860423894051809</v>
      </c>
      <c r="F20" s="31">
        <v>0.9942482787707491</v>
      </c>
      <c r="G20" s="31">
        <v>0.9899060040904373</v>
      </c>
      <c r="H20" s="55">
        <v>0.9893162108926628</v>
      </c>
      <c r="I20" s="55">
        <v>0.9817394423622574</v>
      </c>
      <c r="J20" s="23" t="s">
        <v>152</v>
      </c>
      <c r="K20" s="18">
        <v>45728</v>
      </c>
      <c r="L20" s="18">
        <v>43532</v>
      </c>
      <c r="M20" s="26">
        <f>H18*K20</f>
        <v>45465.04697630126</v>
      </c>
      <c r="N20" s="26">
        <f>I18*L20</f>
        <v>42935.11200819669</v>
      </c>
      <c r="O20" s="26">
        <f>B20-M20</f>
        <v>1329.9530236987412</v>
      </c>
      <c r="P20" s="26">
        <f>C20-N20</f>
        <v>412.8879918033126</v>
      </c>
      <c r="Q20" s="23" t="s">
        <v>164</v>
      </c>
      <c r="R20" s="32">
        <v>1</v>
      </c>
      <c r="S20" s="32">
        <v>1</v>
      </c>
      <c r="T20" s="26">
        <f>(R20*H20*B20)</f>
        <v>46295.05208872215</v>
      </c>
      <c r="U20" s="26">
        <f>(S20*I20*C20)</f>
        <v>42556.44134751913</v>
      </c>
      <c r="V20" s="28">
        <f t="shared" si="23"/>
        <v>0.0018956392501687084</v>
      </c>
      <c r="W20" s="28">
        <f t="shared" si="24"/>
        <v>-0.0036700044425969124</v>
      </c>
      <c r="X20" s="26">
        <f t="shared" si="25"/>
        <v>87.75871782798656</v>
      </c>
      <c r="Y20" s="26">
        <f t="shared" si="26"/>
        <v>-156.18232880651016</v>
      </c>
      <c r="Z20" s="32">
        <v>1</v>
      </c>
      <c r="AA20" s="32">
        <v>1</v>
      </c>
      <c r="AB20" s="26">
        <f t="shared" si="27"/>
        <v>87.75871782798656</v>
      </c>
      <c r="AC20" s="26">
        <f t="shared" si="28"/>
        <v>-156.18232880651016</v>
      </c>
      <c r="AD20" s="18">
        <v>0</v>
      </c>
      <c r="AE20" s="18">
        <v>0</v>
      </c>
      <c r="AF20" s="26">
        <f t="shared" si="29"/>
        <v>87.75871782798656</v>
      </c>
      <c r="AG20" s="26">
        <f t="shared" si="30"/>
        <v>-156.18232880651016</v>
      </c>
      <c r="AI20" s="35" t="s">
        <v>165</v>
      </c>
      <c r="AJ20" s="35" t="s">
        <v>165</v>
      </c>
      <c r="AK20" s="23" t="s">
        <v>166</v>
      </c>
      <c r="AL20" s="26">
        <f t="shared" si="0"/>
        <v>88227.75728390366</v>
      </c>
      <c r="AM20" s="26">
        <f>(B21*F21*R20)+((AF20)/2)</f>
        <v>46178.283525945946</v>
      </c>
      <c r="AN20" s="26">
        <f>(C21*G21*S20)+((AG20)/2)</f>
        <v>42049.473757957705</v>
      </c>
      <c r="AO20" s="27">
        <f t="shared" si="1"/>
        <v>0.06500355888560459</v>
      </c>
      <c r="AP20" s="27">
        <f t="shared" si="2"/>
        <v>0.06521075397818571</v>
      </c>
      <c r="AQ20" s="27">
        <f t="shared" si="3"/>
        <v>0.06477753108683675</v>
      </c>
      <c r="AR20" s="23" t="s">
        <v>166</v>
      </c>
      <c r="AS20" s="26">
        <f t="shared" si="4"/>
        <v>88783.06982526276</v>
      </c>
      <c r="AT20" s="26">
        <f t="shared" si="42"/>
        <v>46382.81080655014</v>
      </c>
      <c r="AU20" s="26">
        <f t="shared" si="31"/>
        <v>42400.25901871262</v>
      </c>
      <c r="AV20" s="28">
        <f t="shared" si="5"/>
        <v>0.06279148026497469</v>
      </c>
      <c r="AW20" s="28">
        <f t="shared" si="6"/>
        <v>0.0628759429663995</v>
      </c>
      <c r="AX20" s="28">
        <f t="shared" si="7"/>
        <v>0.06269934370252721</v>
      </c>
      <c r="AY20" s="28">
        <f>(B22+C22)/($B$32+$C$32)</f>
        <v>0.07289187751690601</v>
      </c>
      <c r="AZ20" s="28">
        <f>D22</f>
        <v>0.07351178819251612</v>
      </c>
      <c r="BA20" s="28">
        <f>E22</f>
        <v>0.07222056924362513</v>
      </c>
      <c r="BB20" s="23" t="s">
        <v>166</v>
      </c>
      <c r="BC20" s="22" t="s">
        <v>12</v>
      </c>
      <c r="BD20" s="25" t="s">
        <v>156</v>
      </c>
      <c r="BE20" s="26">
        <f t="shared" si="43"/>
        <v>48379.12045136459</v>
      </c>
      <c r="BF20" s="26">
        <f t="shared" si="44"/>
        <v>44019.15115317468</v>
      </c>
      <c r="BG20" s="28">
        <f t="shared" si="18"/>
        <v>0.06558211469657205</v>
      </c>
      <c r="BH20" s="28">
        <f t="shared" si="19"/>
        <v>0.06509327894502556</v>
      </c>
      <c r="BI20" s="23" t="s">
        <v>152</v>
      </c>
      <c r="BJ20" s="26">
        <f>B18</f>
        <v>47276</v>
      </c>
      <c r="BK20" s="26">
        <f>C18</f>
        <v>44206</v>
      </c>
      <c r="BL20" s="26">
        <f>H18*BJ20</f>
        <v>47004.14540000915</v>
      </c>
      <c r="BM20" s="26">
        <f>I18*BK20</f>
        <v>43599.87047308515</v>
      </c>
      <c r="BN20" s="26">
        <f t="shared" si="45"/>
        <v>1374.9750513554463</v>
      </c>
      <c r="BO20" s="26">
        <f t="shared" si="46"/>
        <v>419.28068008952687</v>
      </c>
      <c r="BP20" s="23" t="s">
        <v>164</v>
      </c>
      <c r="BQ20" s="32">
        <v>1</v>
      </c>
      <c r="BR20" s="32">
        <v>1</v>
      </c>
      <c r="BS20" s="26">
        <f>(BQ20*H20*BE20)</f>
        <v>47862.24813126375</v>
      </c>
      <c r="BT20" s="26">
        <f>(BR20*I20*BF20)</f>
        <v>43215.33690637763</v>
      </c>
      <c r="BU20" s="28">
        <f t="shared" si="32"/>
        <v>0.0018956392501687052</v>
      </c>
      <c r="BV20" s="28">
        <f t="shared" si="33"/>
        <v>-0.0036700044425969887</v>
      </c>
      <c r="BW20" s="26">
        <f t="shared" si="34"/>
        <v>90.72955615893731</v>
      </c>
      <c r="BX20" s="26">
        <f t="shared" si="35"/>
        <v>-158.6004784347315</v>
      </c>
      <c r="BY20" s="32">
        <v>1</v>
      </c>
      <c r="BZ20" s="32">
        <v>1</v>
      </c>
      <c r="CA20" s="26">
        <f t="shared" si="36"/>
        <v>90.72955615893731</v>
      </c>
      <c r="CB20" s="26">
        <f t="shared" si="37"/>
        <v>-158.6004784347315</v>
      </c>
      <c r="CC20" s="18">
        <v>0</v>
      </c>
      <c r="CD20" s="18">
        <v>0</v>
      </c>
      <c r="CE20" s="26">
        <f t="shared" si="38"/>
        <v>90.72955615893731</v>
      </c>
      <c r="CF20" s="26">
        <f t="shared" si="39"/>
        <v>-158.6004784347315</v>
      </c>
      <c r="CG20" s="26"/>
      <c r="CH20" s="35" t="s">
        <v>167</v>
      </c>
      <c r="CI20" s="35" t="s">
        <v>168</v>
      </c>
      <c r="CJ20" s="23" t="s">
        <v>166</v>
      </c>
      <c r="CK20" s="26">
        <f t="shared" si="8"/>
        <v>87788.3359590182</v>
      </c>
      <c r="CL20" s="26">
        <f>(BE21*F21*BQ20)+((CE20)/2)</f>
        <v>46401.40839915508</v>
      </c>
      <c r="CM20" s="26">
        <f>(BF21*G21*BR20)+((CF20)/2)</f>
        <v>41386.927559863114</v>
      </c>
      <c r="CN20" s="27">
        <f t="shared" si="9"/>
        <v>0.06077980600577562</v>
      </c>
      <c r="CO20" s="27">
        <f t="shared" si="10"/>
        <v>0.06119184263531718</v>
      </c>
      <c r="CP20" s="27">
        <f t="shared" si="11"/>
        <v>0.06032439528738596</v>
      </c>
      <c r="CQ20" s="23" t="s">
        <v>166</v>
      </c>
      <c r="CR20" s="26">
        <f t="shared" si="12"/>
        <v>91009.71411536558</v>
      </c>
      <c r="CS20" s="26">
        <f t="shared" si="40"/>
        <v>47952.97768742268</v>
      </c>
      <c r="CT20" s="26">
        <f t="shared" si="41"/>
        <v>43056.7364279429</v>
      </c>
      <c r="CU20" s="27">
        <f t="shared" si="13"/>
        <v>0.06093314079006585</v>
      </c>
      <c r="CV20" s="27">
        <f t="shared" si="14"/>
        <v>0.06124890495926431</v>
      </c>
      <c r="CW20" s="27">
        <f t="shared" si="15"/>
        <v>0.060585279497289576</v>
      </c>
      <c r="CX20" s="28">
        <f t="shared" si="20"/>
        <v>0.06279148026497472</v>
      </c>
      <c r="CY20" s="28">
        <f t="shared" si="21"/>
        <v>0.0628759429663995</v>
      </c>
      <c r="CZ20" s="28">
        <f t="shared" si="22"/>
        <v>0.06269934370252721</v>
      </c>
      <c r="DA20" s="23" t="s">
        <v>166</v>
      </c>
    </row>
    <row r="21" spans="1:105" ht="12">
      <c r="A21" s="23" t="s">
        <v>159</v>
      </c>
      <c r="B21" s="18">
        <v>46550</v>
      </c>
      <c r="C21" s="18">
        <v>42774</v>
      </c>
      <c r="D21" s="28">
        <f t="shared" si="16"/>
        <v>0.06803128708472417</v>
      </c>
      <c r="E21" s="28">
        <f t="shared" si="17"/>
        <v>0.06769580410726495</v>
      </c>
      <c r="F21" s="31">
        <v>0.9910720551456917</v>
      </c>
      <c r="G21" s="31">
        <v>0.9848871960153589</v>
      </c>
      <c r="H21" s="55">
        <v>0.983791119281841</v>
      </c>
      <c r="I21" s="55">
        <v>0.9742393348141646</v>
      </c>
      <c r="J21" s="23" t="s">
        <v>154</v>
      </c>
      <c r="K21" s="18">
        <v>45585</v>
      </c>
      <c r="L21" s="18">
        <v>43189</v>
      </c>
      <c r="M21" s="26">
        <f>H19*K21</f>
        <v>45235.89999961078</v>
      </c>
      <c r="N21" s="26">
        <f>I19*L21</f>
        <v>42537.765580012536</v>
      </c>
      <c r="O21" s="26">
        <f>B21-M21</f>
        <v>1314.1000003892186</v>
      </c>
      <c r="P21" s="26">
        <f>C21-N21</f>
        <v>236.2344199874642</v>
      </c>
      <c r="Q21" s="23" t="s">
        <v>169</v>
      </c>
      <c r="R21" s="32">
        <v>1</v>
      </c>
      <c r="S21" s="32">
        <v>1</v>
      </c>
      <c r="T21" s="26">
        <f>(R21*H21*B21)</f>
        <v>45795.4766025697</v>
      </c>
      <c r="U21" s="26">
        <f>(S21*I21*C21)</f>
        <v>41672.113307341075</v>
      </c>
      <c r="V21" s="28">
        <f t="shared" si="23"/>
        <v>-0.0010966549385322006</v>
      </c>
      <c r="W21" s="28">
        <f t="shared" si="24"/>
        <v>-0.006367639520053526</v>
      </c>
      <c r="X21" s="26">
        <f t="shared" si="25"/>
        <v>-50.221835578643905</v>
      </c>
      <c r="Y21" s="26">
        <f t="shared" si="26"/>
        <v>-265.3529955799735</v>
      </c>
      <c r="Z21" s="32">
        <v>1</v>
      </c>
      <c r="AA21" s="32">
        <v>1</v>
      </c>
      <c r="AB21" s="26">
        <f t="shared" si="27"/>
        <v>-50.221835578643905</v>
      </c>
      <c r="AC21" s="26">
        <f t="shared" si="28"/>
        <v>-265.3529955799735</v>
      </c>
      <c r="AD21" s="18">
        <v>0</v>
      </c>
      <c r="AE21" s="18">
        <v>0</v>
      </c>
      <c r="AF21" s="26">
        <f t="shared" si="29"/>
        <v>-50.221835578643905</v>
      </c>
      <c r="AG21" s="26">
        <f t="shared" si="30"/>
        <v>-265.3529955799735</v>
      </c>
      <c r="AI21" s="27">
        <f>(1+(AI16-AI13)/AI13)*AI16</f>
        <v>0.2490244220633764</v>
      </c>
      <c r="AJ21" s="27">
        <f>(1+(AJ16-AJ13)/AJ13)*AJ16</f>
        <v>0.23147744839516718</v>
      </c>
      <c r="AK21" s="23" t="s">
        <v>170</v>
      </c>
      <c r="AL21" s="26">
        <f t="shared" si="0"/>
        <v>94081.49665408206</v>
      </c>
      <c r="AM21" s="26">
        <f>(B22*F22*R21)+((AF21)/2)</f>
        <v>49616.41641735669</v>
      </c>
      <c r="AN21" s="26">
        <f>(C22*G22*S21)+((AG21)/2)</f>
        <v>44465.08023672537</v>
      </c>
      <c r="AO21" s="27">
        <f t="shared" si="1"/>
        <v>0.06931641805333723</v>
      </c>
      <c r="AP21" s="27">
        <f t="shared" si="2"/>
        <v>0.07006592010838894</v>
      </c>
      <c r="AQ21" s="27">
        <f t="shared" si="3"/>
        <v>0.06849879106437272</v>
      </c>
      <c r="AR21" s="23" t="s">
        <v>170</v>
      </c>
      <c r="AS21" s="26">
        <f t="shared" si="4"/>
        <v>87152.01507875216</v>
      </c>
      <c r="AT21" s="26">
        <f t="shared" si="42"/>
        <v>45745.25476699106</v>
      </c>
      <c r="AU21" s="26">
        <f t="shared" si="31"/>
        <v>41406.7603117611</v>
      </c>
      <c r="AV21" s="28">
        <f t="shared" si="5"/>
        <v>0.0616379231495451</v>
      </c>
      <c r="AW21" s="28">
        <f t="shared" si="6"/>
        <v>0.06201168018274908</v>
      </c>
      <c r="AX21" s="28">
        <f t="shared" si="7"/>
        <v>0.06123020841097915</v>
      </c>
      <c r="AY21" s="28">
        <f>(B23+C23)/($B$32+$C$32)</f>
        <v>0.0713456424283869</v>
      </c>
      <c r="AZ21" s="28">
        <f>D23</f>
        <v>0.072608601609952</v>
      </c>
      <c r="BA21" s="28">
        <f>E23</f>
        <v>0.06997796966397407</v>
      </c>
      <c r="BB21" s="23" t="s">
        <v>170</v>
      </c>
      <c r="BC21" s="22" t="s">
        <v>12</v>
      </c>
      <c r="BD21" s="25" t="s">
        <v>159</v>
      </c>
      <c r="BE21" s="26">
        <f t="shared" si="43"/>
        <v>46773.6360644949</v>
      </c>
      <c r="BF21" s="26">
        <f t="shared" si="44"/>
        <v>42102.51485331913</v>
      </c>
      <c r="BG21" s="28">
        <f t="shared" si="18"/>
        <v>0.06340574066949371</v>
      </c>
      <c r="BH21" s="28">
        <f t="shared" si="19"/>
        <v>0.062259054794075265</v>
      </c>
      <c r="BI21" s="23" t="s">
        <v>154</v>
      </c>
      <c r="BJ21" s="26">
        <f>B19</f>
        <v>45804</v>
      </c>
      <c r="BK21" s="26">
        <f>C19</f>
        <v>42511</v>
      </c>
      <c r="BL21" s="26">
        <f>H19*BJ21</f>
        <v>45453.2228492305</v>
      </c>
      <c r="BM21" s="26">
        <f>I19*BK21</f>
        <v>41869.98894560913</v>
      </c>
      <c r="BN21" s="26">
        <f t="shared" si="45"/>
        <v>1320.4132152644015</v>
      </c>
      <c r="BO21" s="26">
        <f t="shared" si="46"/>
        <v>232.52590770999814</v>
      </c>
      <c r="BP21" s="23" t="s">
        <v>169</v>
      </c>
      <c r="BQ21" s="32">
        <v>1</v>
      </c>
      <c r="BR21" s="32">
        <v>1</v>
      </c>
      <c r="BS21" s="26">
        <f>(BQ21*H21*BE21)</f>
        <v>46015.487776770926</v>
      </c>
      <c r="BT21" s="26">
        <f>(BR21*I21*BF21)</f>
        <v>41017.92606470112</v>
      </c>
      <c r="BU21" s="28">
        <f t="shared" si="32"/>
        <v>-0.0010966549385322524</v>
      </c>
      <c r="BV21" s="28">
        <f t="shared" si="33"/>
        <v>-0.0063676395200535614</v>
      </c>
      <c r="BW21" s="26">
        <f t="shared" si="34"/>
        <v>-50.463111919366334</v>
      </c>
      <c r="BX21" s="26">
        <f t="shared" si="35"/>
        <v>-261.1873670402259</v>
      </c>
      <c r="BY21" s="32">
        <v>1</v>
      </c>
      <c r="BZ21" s="32">
        <v>1</v>
      </c>
      <c r="CA21" s="26">
        <f t="shared" si="36"/>
        <v>-50.463111919366334</v>
      </c>
      <c r="CB21" s="26">
        <f t="shared" si="37"/>
        <v>-261.1873670402259</v>
      </c>
      <c r="CC21" s="18">
        <v>0</v>
      </c>
      <c r="CD21" s="18">
        <v>0</v>
      </c>
      <c r="CE21" s="26">
        <f t="shared" si="38"/>
        <v>-50.463111919366334</v>
      </c>
      <c r="CF21" s="26">
        <f t="shared" si="39"/>
        <v>-261.1873670402259</v>
      </c>
      <c r="CG21" s="26"/>
      <c r="CH21" s="27">
        <f>(1+(CH16-CH13)/CH13)*CH16</f>
        <v>0.24812542424609177</v>
      </c>
      <c r="CI21" s="27">
        <f>(1+(CI16-CI13)/CI13)*CI16</f>
        <v>0.24769657393326774</v>
      </c>
      <c r="CJ21" s="23" t="s">
        <v>170</v>
      </c>
      <c r="CK21" s="26">
        <f t="shared" si="8"/>
        <v>87058.14710300355</v>
      </c>
      <c r="CL21" s="26">
        <f>(BE22*F22*BQ21)+((CE21)/2)</f>
        <v>45750.38614849885</v>
      </c>
      <c r="CM21" s="26">
        <f>(BF22*G22*BR21)+((CF21)/2)</f>
        <v>41307.760954504694</v>
      </c>
      <c r="CN21" s="27">
        <f t="shared" si="9"/>
        <v>0.060274263480890905</v>
      </c>
      <c r="CO21" s="27">
        <f t="shared" si="10"/>
        <v>0.06033330724838329</v>
      </c>
      <c r="CP21" s="27">
        <f t="shared" si="11"/>
        <v>0.06020900432031564</v>
      </c>
      <c r="CQ21" s="23" t="s">
        <v>170</v>
      </c>
      <c r="CR21" s="26">
        <f t="shared" si="12"/>
        <v>86721.76336251246</v>
      </c>
      <c r="CS21" s="26">
        <f t="shared" si="40"/>
        <v>45965.02466485156</v>
      </c>
      <c r="CT21" s="26">
        <f t="shared" si="41"/>
        <v>40756.73869766089</v>
      </c>
      <c r="CU21" s="27">
        <f t="shared" si="13"/>
        <v>0.05806225706667268</v>
      </c>
      <c r="CV21" s="27">
        <f t="shared" si="14"/>
        <v>0.058709751988689204</v>
      </c>
      <c r="CW21" s="27">
        <f t="shared" si="15"/>
        <v>0.057348944909658486</v>
      </c>
      <c r="CX21" s="28">
        <f t="shared" si="20"/>
        <v>0.061637923149545124</v>
      </c>
      <c r="CY21" s="28">
        <f t="shared" si="21"/>
        <v>0.06201168018274908</v>
      </c>
      <c r="CZ21" s="28">
        <f t="shared" si="22"/>
        <v>0.06123020841097915</v>
      </c>
      <c r="DA21" s="23" t="s">
        <v>170</v>
      </c>
    </row>
    <row r="22" spans="1:105" ht="12">
      <c r="A22" s="23" t="s">
        <v>164</v>
      </c>
      <c r="B22" s="18">
        <v>50300</v>
      </c>
      <c r="C22" s="18">
        <v>45633</v>
      </c>
      <c r="D22" s="28">
        <f t="shared" si="16"/>
        <v>0.07351178819251612</v>
      </c>
      <c r="E22" s="28">
        <f t="shared" si="17"/>
        <v>0.07222056924362513</v>
      </c>
      <c r="F22" s="31">
        <v>0.9869090921500201</v>
      </c>
      <c r="G22" s="31">
        <v>0.9773137145161475</v>
      </c>
      <c r="H22" s="55">
        <v>0.9746776244333393</v>
      </c>
      <c r="I22" s="55">
        <v>0.9599896478091294</v>
      </c>
      <c r="J22" s="23" t="s">
        <v>156</v>
      </c>
      <c r="K22" s="18">
        <v>50747</v>
      </c>
      <c r="L22" s="18">
        <v>46653</v>
      </c>
      <c r="M22" s="26">
        <f>H20*K22</f>
        <v>50204.82975416996</v>
      </c>
      <c r="N22" s="26">
        <f>I20*L22</f>
        <v>45801.090204526394</v>
      </c>
      <c r="O22" s="26">
        <f>B22-M22</f>
        <v>95.1702458300424</v>
      </c>
      <c r="P22" s="26">
        <f>C22-N22</f>
        <v>-168.0902045263938</v>
      </c>
      <c r="Q22" s="23" t="s">
        <v>171</v>
      </c>
      <c r="R22" s="32">
        <v>1</v>
      </c>
      <c r="S22" s="32">
        <v>1</v>
      </c>
      <c r="T22" s="26">
        <f>(R22*H22*B22)</f>
        <v>49026.28450899696</v>
      </c>
      <c r="U22" s="26">
        <f>(S22*I22*C22)</f>
        <v>43807.207598474</v>
      </c>
      <c r="V22" s="28">
        <f t="shared" si="23"/>
        <v>-0.014424848348865246</v>
      </c>
      <c r="W22" s="28">
        <f t="shared" si="24"/>
        <v>-0.025484072040890246</v>
      </c>
      <c r="X22" s="26">
        <f t="shared" si="25"/>
        <v>-707.1967191506027</v>
      </c>
      <c r="Y22" s="26">
        <f t="shared" si="26"/>
        <v>-1116.386034349746</v>
      </c>
      <c r="Z22" s="32">
        <v>1</v>
      </c>
      <c r="AA22" s="32">
        <v>1</v>
      </c>
      <c r="AB22" s="26">
        <f t="shared" si="27"/>
        <v>-707.1967191506027</v>
      </c>
      <c r="AC22" s="26">
        <f t="shared" si="28"/>
        <v>-1116.386034349746</v>
      </c>
      <c r="AD22" s="18">
        <v>0</v>
      </c>
      <c r="AE22" s="18">
        <v>0</v>
      </c>
      <c r="AF22" s="26">
        <f t="shared" si="29"/>
        <v>-707.1967191506027</v>
      </c>
      <c r="AG22" s="26">
        <f t="shared" si="30"/>
        <v>-1116.386034349746</v>
      </c>
      <c r="AI22" s="27"/>
      <c r="AJ22" s="27"/>
      <c r="AK22" s="23" t="s">
        <v>172</v>
      </c>
      <c r="AL22" s="26">
        <f t="shared" si="0"/>
        <v>90605.47904228797</v>
      </c>
      <c r="AM22" s="26">
        <f>(B23*F23*R22)+((AF22)/2)</f>
        <v>48389.38865053827</v>
      </c>
      <c r="AN22" s="26">
        <f>(C23*G23*S22)+((AG22)/2)</f>
        <v>42216.09039174971</v>
      </c>
      <c r="AO22" s="27">
        <f t="shared" si="1"/>
        <v>0.06675539278791456</v>
      </c>
      <c r="AP22" s="27">
        <f t="shared" si="2"/>
        <v>0.06833317043220315</v>
      </c>
      <c r="AQ22" s="27">
        <f t="shared" si="3"/>
        <v>0.06503420526633236</v>
      </c>
      <c r="AR22" s="23" t="s">
        <v>172</v>
      </c>
      <c r="AS22" s="26">
        <f t="shared" si="4"/>
        <v>91009.90935397061</v>
      </c>
      <c r="AT22" s="26">
        <f t="shared" si="42"/>
        <v>48319.08778984636</v>
      </c>
      <c r="AU22" s="26">
        <f t="shared" si="31"/>
        <v>42690.82156412426</v>
      </c>
      <c r="AV22" s="28">
        <f t="shared" si="5"/>
        <v>0.0643664038466364</v>
      </c>
      <c r="AW22" s="28">
        <f t="shared" si="6"/>
        <v>0.06550073519118836</v>
      </c>
      <c r="AX22" s="28">
        <f t="shared" si="7"/>
        <v>0.06312901279709111</v>
      </c>
      <c r="AY22" s="28">
        <f>(B24+C24)/($B$32+$C$32)</f>
        <v>0.06280145885571005</v>
      </c>
      <c r="AZ22" s="28">
        <f>D24</f>
        <v>0.06423878031813213</v>
      </c>
      <c r="BA22" s="28">
        <f>E24</f>
        <v>0.061244967207718215</v>
      </c>
      <c r="BB22" s="23" t="s">
        <v>172</v>
      </c>
      <c r="BC22" s="22" t="s">
        <v>12</v>
      </c>
      <c r="BD22" s="25" t="s">
        <v>164</v>
      </c>
      <c r="BE22" s="26">
        <f t="shared" si="43"/>
        <v>46382.81080655014</v>
      </c>
      <c r="BF22" s="26">
        <f t="shared" si="44"/>
        <v>42400.25901871262</v>
      </c>
      <c r="BG22" s="28">
        <f t="shared" si="18"/>
        <v>0.0628759429663995</v>
      </c>
      <c r="BH22" s="28">
        <f t="shared" si="19"/>
        <v>0.06269934370252721</v>
      </c>
      <c r="BI22" s="23" t="s">
        <v>156</v>
      </c>
      <c r="BJ22" s="26">
        <f>B20</f>
        <v>46795</v>
      </c>
      <c r="BK22" s="26">
        <f>C20</f>
        <v>43348</v>
      </c>
      <c r="BL22" s="26">
        <f>H20*BJ22</f>
        <v>46295.05208872215</v>
      </c>
      <c r="BM22" s="26">
        <f>I20*BK22</f>
        <v>42556.44134751913</v>
      </c>
      <c r="BN22" s="26">
        <f t="shared" si="45"/>
        <v>87.7587178279864</v>
      </c>
      <c r="BO22" s="26">
        <f t="shared" si="46"/>
        <v>-156.1823288065134</v>
      </c>
      <c r="BP22" s="23" t="s">
        <v>171</v>
      </c>
      <c r="BQ22" s="32">
        <v>1</v>
      </c>
      <c r="BR22" s="32">
        <v>1</v>
      </c>
      <c r="BS22" s="26">
        <f>(BQ22*H22*BE22)</f>
        <v>45208.28785146931</v>
      </c>
      <c r="BT22" s="26">
        <f>(BR22*I22*BF22)</f>
        <v>40703.80972238979</v>
      </c>
      <c r="BU22" s="28">
        <f t="shared" si="32"/>
        <v>-0.014424848348865286</v>
      </c>
      <c r="BV22" s="28">
        <f t="shared" si="33"/>
        <v>-0.02548407204089019</v>
      </c>
      <c r="BW22" s="26">
        <f t="shared" si="34"/>
        <v>-652.1226963692936</v>
      </c>
      <c r="BX22" s="26">
        <f t="shared" si="35"/>
        <v>-1037.298819304068</v>
      </c>
      <c r="BY22" s="32">
        <v>1</v>
      </c>
      <c r="BZ22" s="32">
        <v>1</v>
      </c>
      <c r="CA22" s="26">
        <f t="shared" si="36"/>
        <v>-652.1226963692936</v>
      </c>
      <c r="CB22" s="26">
        <f t="shared" si="37"/>
        <v>-1037.298819304068</v>
      </c>
      <c r="CC22" s="18">
        <v>0</v>
      </c>
      <c r="CD22" s="18">
        <v>0</v>
      </c>
      <c r="CE22" s="26">
        <f t="shared" si="38"/>
        <v>-652.1226963692936</v>
      </c>
      <c r="CF22" s="26">
        <f t="shared" si="39"/>
        <v>-1037.298819304068</v>
      </c>
      <c r="CG22" s="26"/>
      <c r="CJ22" s="23" t="s">
        <v>172</v>
      </c>
      <c r="CK22" s="26">
        <f t="shared" si="8"/>
        <v>84092.57974764385</v>
      </c>
      <c r="CL22" s="26">
        <f>(BE23*F23*BQ22)+((CE22)/2)</f>
        <v>44554.5867513641</v>
      </c>
      <c r="CM22" s="26">
        <f>(BF23*G23*BR22)+((CF22)/2)</f>
        <v>39537.992996279754</v>
      </c>
      <c r="CN22" s="27">
        <f t="shared" si="9"/>
        <v>0.058221068069601103</v>
      </c>
      <c r="CO22" s="27">
        <f t="shared" si="10"/>
        <v>0.05875634717201178</v>
      </c>
      <c r="CP22" s="27">
        <f t="shared" si="11"/>
        <v>0.05762944144446576</v>
      </c>
      <c r="CQ22" s="23" t="s">
        <v>172</v>
      </c>
      <c r="CR22" s="26">
        <f t="shared" si="12"/>
        <v>84222.67605818574</v>
      </c>
      <c r="CS22" s="26">
        <f t="shared" si="40"/>
        <v>44556.16515510001</v>
      </c>
      <c r="CT22" s="26">
        <f t="shared" si="41"/>
        <v>39666.51090308573</v>
      </c>
      <c r="CU22" s="27">
        <f t="shared" si="13"/>
        <v>0.05638905943011955</v>
      </c>
      <c r="CV22" s="27">
        <f t="shared" si="14"/>
        <v>0.05691025785140728</v>
      </c>
      <c r="CW22" s="27">
        <f t="shared" si="15"/>
        <v>0.05581488169145359</v>
      </c>
      <c r="CX22" s="28">
        <f t="shared" si="20"/>
        <v>0.06436640384663643</v>
      </c>
      <c r="CY22" s="28">
        <f t="shared" si="21"/>
        <v>0.06550073519118836</v>
      </c>
      <c r="CZ22" s="28">
        <f t="shared" si="22"/>
        <v>0.06312901279709111</v>
      </c>
      <c r="DA22" s="23" t="s">
        <v>172</v>
      </c>
    </row>
    <row r="23" spans="1:105" ht="12">
      <c r="A23" s="23" t="s">
        <v>169</v>
      </c>
      <c r="B23" s="18">
        <v>49682</v>
      </c>
      <c r="C23" s="18">
        <v>44216</v>
      </c>
      <c r="D23" s="28">
        <f t="shared" si="16"/>
        <v>0.072608601609952</v>
      </c>
      <c r="E23" s="28">
        <f t="shared" si="17"/>
        <v>0.06997796966397407</v>
      </c>
      <c r="F23" s="31">
        <v>0.9810995332336373</v>
      </c>
      <c r="G23" s="31">
        <v>0.9673937807337748</v>
      </c>
      <c r="H23" s="55">
        <v>0.9626511896944335</v>
      </c>
      <c r="I23" s="55">
        <v>0.9389951049374119</v>
      </c>
      <c r="J23" s="23" t="s">
        <v>159</v>
      </c>
      <c r="K23" s="18">
        <v>50556</v>
      </c>
      <c r="L23" s="18">
        <v>45676</v>
      </c>
      <c r="M23" s="26">
        <f>H21*K23</f>
        <v>49736.54382641276</v>
      </c>
      <c r="N23" s="26">
        <f>I21*L23</f>
        <v>44499.35585697178</v>
      </c>
      <c r="O23" s="26">
        <f>B23-M23</f>
        <v>-54.54382641275879</v>
      </c>
      <c r="P23" s="26">
        <f>C23-N23</f>
        <v>-283.35585697177885</v>
      </c>
      <c r="Q23" s="23" t="s">
        <v>173</v>
      </c>
      <c r="R23" s="32">
        <v>1</v>
      </c>
      <c r="S23" s="32">
        <v>1</v>
      </c>
      <c r="T23" s="26">
        <f>(R23*H23*B23)</f>
        <v>47826.43640639885</v>
      </c>
      <c r="U23" s="26">
        <f>(S23*I23*C23)</f>
        <v>41518.607559912605</v>
      </c>
      <c r="V23" s="28">
        <f t="shared" si="23"/>
        <v>-0.03290239099490978</v>
      </c>
      <c r="W23" s="28">
        <f t="shared" si="24"/>
        <v>-0.047230967556354</v>
      </c>
      <c r="X23" s="26">
        <f t="shared" si="25"/>
        <v>-1573.6041105365227</v>
      </c>
      <c r="Y23" s="26">
        <f t="shared" si="26"/>
        <v>-1960.9640066472264</v>
      </c>
      <c r="Z23" s="32">
        <v>1</v>
      </c>
      <c r="AA23" s="32">
        <v>1</v>
      </c>
      <c r="AB23" s="26">
        <f t="shared" si="27"/>
        <v>-1573.6041105365227</v>
      </c>
      <c r="AC23" s="26">
        <f t="shared" si="28"/>
        <v>-1960.9640066472264</v>
      </c>
      <c r="AD23" s="18">
        <v>0</v>
      </c>
      <c r="AE23" s="18">
        <v>0</v>
      </c>
      <c r="AF23" s="26">
        <f t="shared" si="29"/>
        <v>-1573.6041105365227</v>
      </c>
      <c r="AG23" s="26">
        <f t="shared" si="30"/>
        <v>-1960.9640066472264</v>
      </c>
      <c r="AI23" s="36" t="s">
        <v>2</v>
      </c>
      <c r="AJ23" s="36" t="s">
        <v>2</v>
      </c>
      <c r="AK23" s="23" t="s">
        <v>174</v>
      </c>
      <c r="AL23" s="26">
        <f t="shared" si="0"/>
        <v>77837.14861123136</v>
      </c>
      <c r="AM23" s="26">
        <f>(B24*F24*R23)+((AF23)/2)</f>
        <v>41908.84805878377</v>
      </c>
      <c r="AN23" s="26">
        <f>(C24*G24*S23)+((AG23)/2)</f>
        <v>35928.30055244759</v>
      </c>
      <c r="AO23" s="27">
        <f t="shared" si="1"/>
        <v>0.057348070822614325</v>
      </c>
      <c r="AP23" s="27">
        <f t="shared" si="2"/>
        <v>0.059181662279304735</v>
      </c>
      <c r="AQ23" s="27">
        <f t="shared" si="3"/>
        <v>0.05534781765236589</v>
      </c>
      <c r="AR23" s="23" t="s">
        <v>174</v>
      </c>
      <c r="AS23" s="26">
        <f t="shared" si="4"/>
        <v>85810.4758491277</v>
      </c>
      <c r="AT23" s="26">
        <f t="shared" si="42"/>
        <v>46252.832295862325</v>
      </c>
      <c r="AU23" s="26">
        <f t="shared" si="31"/>
        <v>39557.64355326538</v>
      </c>
      <c r="AV23" s="28">
        <f t="shared" si="5"/>
        <v>0.060689124755578285</v>
      </c>
      <c r="AW23" s="28">
        <f t="shared" si="6"/>
        <v>0.06269974576569622</v>
      </c>
      <c r="AX23" s="28">
        <f t="shared" si="7"/>
        <v>0.05849582871919804</v>
      </c>
      <c r="AY23" s="28">
        <f>(B25+C25)/($B$32+$C$32)</f>
        <v>0.05131904870450574</v>
      </c>
      <c r="AZ23" s="28">
        <f>D25</f>
        <v>0.05202091651516126</v>
      </c>
      <c r="BA23" s="28">
        <f>E25</f>
        <v>0.050558988123876325</v>
      </c>
      <c r="BB23" s="23" t="s">
        <v>174</v>
      </c>
      <c r="BC23" s="22" t="s">
        <v>12</v>
      </c>
      <c r="BD23" s="25" t="s">
        <v>169</v>
      </c>
      <c r="BE23" s="26">
        <f t="shared" si="43"/>
        <v>45745.25476699106</v>
      </c>
      <c r="BF23" s="26">
        <f t="shared" si="44"/>
        <v>41406.7603117611</v>
      </c>
      <c r="BG23" s="28">
        <f t="shared" si="18"/>
        <v>0.06201168018274908</v>
      </c>
      <c r="BH23" s="28">
        <f t="shared" si="19"/>
        <v>0.06123020841097915</v>
      </c>
      <c r="BI23" s="23" t="s">
        <v>159</v>
      </c>
      <c r="BJ23" s="26">
        <f>B21</f>
        <v>46550</v>
      </c>
      <c r="BK23" s="26">
        <f>C21</f>
        <v>42774</v>
      </c>
      <c r="BL23" s="26">
        <f>H21*BJ23</f>
        <v>45795.4766025697</v>
      </c>
      <c r="BM23" s="26">
        <f>I21*BK23</f>
        <v>41672.113307341075</v>
      </c>
      <c r="BN23" s="26">
        <f t="shared" si="45"/>
        <v>-50.22183557864628</v>
      </c>
      <c r="BO23" s="26">
        <f t="shared" si="46"/>
        <v>-265.35299557997496</v>
      </c>
      <c r="BP23" s="23" t="s">
        <v>173</v>
      </c>
      <c r="BQ23" s="32">
        <v>1</v>
      </c>
      <c r="BR23" s="32">
        <v>1</v>
      </c>
      <c r="BS23" s="26">
        <f>(BQ23*H23*BE23)</f>
        <v>44036.723924318896</v>
      </c>
      <c r="BT23" s="26">
        <f>(BR23*I23*BF23)</f>
        <v>38880.745244060374</v>
      </c>
      <c r="BU23" s="28">
        <f t="shared" si="32"/>
        <v>-0.03290239099490977</v>
      </c>
      <c r="BV23" s="28">
        <f t="shared" si="33"/>
        <v>-0.04723096755635403</v>
      </c>
      <c r="BW23" s="26">
        <f t="shared" si="34"/>
        <v>-1448.9135086928377</v>
      </c>
      <c r="BX23" s="26">
        <f t="shared" si="35"/>
        <v>-1836.3752171890817</v>
      </c>
      <c r="BY23" s="32">
        <v>1</v>
      </c>
      <c r="BZ23" s="32">
        <v>1</v>
      </c>
      <c r="CA23" s="26">
        <f t="shared" si="36"/>
        <v>-1448.9135086928377</v>
      </c>
      <c r="CB23" s="26">
        <f t="shared" si="37"/>
        <v>-1836.3752171890817</v>
      </c>
      <c r="CC23" s="18">
        <v>0</v>
      </c>
      <c r="CD23" s="18">
        <v>0</v>
      </c>
      <c r="CE23" s="26">
        <f t="shared" si="38"/>
        <v>-1448.9135086928377</v>
      </c>
      <c r="CF23" s="26">
        <f t="shared" si="39"/>
        <v>-1836.3752171890817</v>
      </c>
      <c r="CG23" s="26"/>
      <c r="CH23" s="36" t="s">
        <v>2</v>
      </c>
      <c r="CI23" s="36" t="s">
        <v>2</v>
      </c>
      <c r="CJ23" s="23" t="s">
        <v>174</v>
      </c>
      <c r="CK23" s="26">
        <f t="shared" si="8"/>
        <v>86009.05296460504</v>
      </c>
      <c r="CL23" s="26">
        <f>(BE24*F24*BQ23)+((CE23)/2)</f>
        <v>46210.24614874638</v>
      </c>
      <c r="CM23" s="26">
        <f>(BF24*G24*BR23)+((CF23)/2)</f>
        <v>39798.80681585867</v>
      </c>
      <c r="CN23" s="27">
        <f t="shared" si="9"/>
        <v>0.05954792851261649</v>
      </c>
      <c r="CO23" s="27">
        <f t="shared" si="10"/>
        <v>0.060939747478114245</v>
      </c>
      <c r="CP23" s="27">
        <f t="shared" si="11"/>
        <v>0.058009596166652716</v>
      </c>
      <c r="CQ23" s="23" t="s">
        <v>174</v>
      </c>
      <c r="CR23" s="26">
        <f t="shared" si="12"/>
        <v>79632.18044249735</v>
      </c>
      <c r="CS23" s="26">
        <f t="shared" si="40"/>
        <v>42587.81041562606</v>
      </c>
      <c r="CT23" s="26">
        <f t="shared" si="41"/>
        <v>37044.37002687129</v>
      </c>
      <c r="CU23" s="27">
        <f t="shared" si="13"/>
        <v>0.0533156148163682</v>
      </c>
      <c r="CV23" s="27">
        <f t="shared" si="14"/>
        <v>0.05439613718198786</v>
      </c>
      <c r="CW23" s="27">
        <f t="shared" si="15"/>
        <v>0.05212525839330644</v>
      </c>
      <c r="CX23" s="28">
        <f t="shared" si="20"/>
        <v>0.060689124755578305</v>
      </c>
      <c r="CY23" s="28">
        <f t="shared" si="21"/>
        <v>0.06269974576569622</v>
      </c>
      <c r="CZ23" s="28">
        <f t="shared" si="22"/>
        <v>0.05849582871919804</v>
      </c>
      <c r="DA23" s="23" t="s">
        <v>174</v>
      </c>
    </row>
    <row r="24" spans="1:105" ht="12">
      <c r="A24" s="23" t="s">
        <v>171</v>
      </c>
      <c r="B24" s="18">
        <v>43955</v>
      </c>
      <c r="C24" s="18">
        <v>38698</v>
      </c>
      <c r="D24" s="28">
        <f t="shared" si="16"/>
        <v>0.06423878031813213</v>
      </c>
      <c r="E24" s="28">
        <f t="shared" si="17"/>
        <v>0.061244967207718215</v>
      </c>
      <c r="F24" s="31">
        <v>0.9713491096360377</v>
      </c>
      <c r="G24" s="31">
        <v>0.9537646016789291</v>
      </c>
      <c r="H24" s="55">
        <v>0.9468565867119852</v>
      </c>
      <c r="I24" s="55">
        <v>0.912220090794932</v>
      </c>
      <c r="J24" s="23" t="s">
        <v>164</v>
      </c>
      <c r="K24" s="18">
        <v>45757</v>
      </c>
      <c r="L24" s="18">
        <v>41365</v>
      </c>
      <c r="M24" s="26">
        <f>H22*K24</f>
        <v>44598.324061196305</v>
      </c>
      <c r="N24" s="26">
        <f>I22*L24</f>
        <v>39709.97178162464</v>
      </c>
      <c r="O24" s="26">
        <f>B24-M24</f>
        <v>-643.3240611963047</v>
      </c>
      <c r="P24" s="26">
        <f>C24-N24</f>
        <v>-1011.9717816246412</v>
      </c>
      <c r="Q24" s="23" t="s">
        <v>175</v>
      </c>
      <c r="R24" s="32">
        <v>1</v>
      </c>
      <c r="S24" s="32">
        <v>1</v>
      </c>
      <c r="T24" s="26">
        <f>(R24*H24*B24)</f>
        <v>41619.081268925314</v>
      </c>
      <c r="U24" s="26">
        <f>(S24*I24*C24)</f>
        <v>35301.093073582284</v>
      </c>
      <c r="V24" s="28">
        <f t="shared" si="23"/>
        <v>-0.0633898039018712</v>
      </c>
      <c r="W24" s="28">
        <f t="shared" si="24"/>
        <v>-0.10109156621129453</v>
      </c>
      <c r="X24" s="26">
        <f t="shared" si="25"/>
        <v>-2638.2254002132163</v>
      </c>
      <c r="Y24" s="26">
        <f t="shared" si="26"/>
        <v>-3568.6427877791143</v>
      </c>
      <c r="Z24" s="32">
        <v>1</v>
      </c>
      <c r="AA24" s="32">
        <v>1</v>
      </c>
      <c r="AB24" s="26">
        <f t="shared" si="27"/>
        <v>-2638.2254002132163</v>
      </c>
      <c r="AC24" s="26">
        <f t="shared" si="28"/>
        <v>-3568.6427877791143</v>
      </c>
      <c r="AD24" s="18">
        <v>0</v>
      </c>
      <c r="AE24" s="18">
        <v>0</v>
      </c>
      <c r="AF24" s="26">
        <f t="shared" si="29"/>
        <v>-2638.2254002132163</v>
      </c>
      <c r="AG24" s="26">
        <f t="shared" si="30"/>
        <v>-3568.6427877791143</v>
      </c>
      <c r="AI24" s="27"/>
      <c r="AJ24" s="36" t="s">
        <v>2</v>
      </c>
      <c r="AK24" s="23" t="s">
        <v>176</v>
      </c>
      <c r="AL24" s="26">
        <f t="shared" si="0"/>
        <v>60546.694928155404</v>
      </c>
      <c r="AM24" s="26">
        <f>(B25*F25*R24)+((AF24)/2)</f>
        <v>32653.27833663378</v>
      </c>
      <c r="AN24" s="26">
        <f>(C25*G25*S24)+((AG24)/2)</f>
        <v>27893.416591521625</v>
      </c>
      <c r="AO24" s="27">
        <f t="shared" si="1"/>
        <v>0.04460898440868709</v>
      </c>
      <c r="AP24" s="27">
        <f t="shared" si="2"/>
        <v>0.04611139127756975</v>
      </c>
      <c r="AQ24" s="27">
        <f t="shared" si="3"/>
        <v>0.04297001838301097</v>
      </c>
      <c r="AR24" s="23" t="s">
        <v>176</v>
      </c>
      <c r="AS24" s="26">
        <f t="shared" si="4"/>
        <v>70713.30615451527</v>
      </c>
      <c r="AT24" s="26">
        <f t="shared" si="42"/>
        <v>38980.8558687121</v>
      </c>
      <c r="AU24" s="26">
        <f t="shared" si="31"/>
        <v>31732.45028580317</v>
      </c>
      <c r="AV24" s="28">
        <f t="shared" si="5"/>
        <v>0.05001171030255282</v>
      </c>
      <c r="AW24" s="28">
        <f t="shared" si="6"/>
        <v>0.05284194786307473</v>
      </c>
      <c r="AX24" s="28">
        <f t="shared" si="7"/>
        <v>0.046924331431910674</v>
      </c>
      <c r="AY24" s="28">
        <f>(B26+C26)/($B$32+$C$32)</f>
        <v>0.03491072106982752</v>
      </c>
      <c r="AZ24" s="28">
        <f>D26</f>
        <v>0.03632914574333133</v>
      </c>
      <c r="BA24" s="28">
        <f>E26</f>
        <v>0.03337469296801803</v>
      </c>
      <c r="BB24" s="23" t="s">
        <v>176</v>
      </c>
      <c r="BC24" s="22" t="s">
        <v>12</v>
      </c>
      <c r="BD24" s="25" t="s">
        <v>171</v>
      </c>
      <c r="BE24" s="26">
        <f t="shared" si="43"/>
        <v>48319.08778984636</v>
      </c>
      <c r="BF24" s="26">
        <f t="shared" si="44"/>
        <v>42690.82156412426</v>
      </c>
      <c r="BG24" s="28">
        <f t="shared" si="18"/>
        <v>0.06550073519118836</v>
      </c>
      <c r="BH24" s="28">
        <f t="shared" si="19"/>
        <v>0.06312901279709111</v>
      </c>
      <c r="BI24" s="23" t="s">
        <v>164</v>
      </c>
      <c r="BJ24" s="26">
        <f>B22</f>
        <v>50300</v>
      </c>
      <c r="BK24" s="26">
        <f>C22</f>
        <v>45633</v>
      </c>
      <c r="BL24" s="26">
        <f>H22*BJ24</f>
        <v>49026.28450899696</v>
      </c>
      <c r="BM24" s="26">
        <f>I22*BK24</f>
        <v>43807.207598474</v>
      </c>
      <c r="BN24" s="26">
        <f t="shared" si="45"/>
        <v>-707.1967191506046</v>
      </c>
      <c r="BO24" s="26">
        <f t="shared" si="46"/>
        <v>-1116.3860343497436</v>
      </c>
      <c r="BP24" s="23" t="s">
        <v>175</v>
      </c>
      <c r="BQ24" s="32">
        <v>1</v>
      </c>
      <c r="BR24" s="32">
        <v>1</v>
      </c>
      <c r="BS24" s="26">
        <f>(BQ24*H24*BE24)</f>
        <v>45751.24653773069</v>
      </c>
      <c r="BT24" s="26">
        <f>(BR24*I24*BF24)</f>
        <v>38943.42512333567</v>
      </c>
      <c r="BU24" s="28">
        <f t="shared" si="32"/>
        <v>-0.06338980390187123</v>
      </c>
      <c r="BV24" s="28">
        <f t="shared" si="33"/>
        <v>-0.10109156621129452</v>
      </c>
      <c r="BW24" s="26">
        <f t="shared" si="34"/>
        <v>-2900.1625462929132</v>
      </c>
      <c r="BX24" s="26">
        <f t="shared" si="35"/>
        <v>-3936.851839350278</v>
      </c>
      <c r="BY24" s="32">
        <v>1</v>
      </c>
      <c r="BZ24" s="32">
        <v>1</v>
      </c>
      <c r="CA24" s="26">
        <f t="shared" si="36"/>
        <v>-2900.1625462929132</v>
      </c>
      <c r="CB24" s="26">
        <f t="shared" si="37"/>
        <v>-3936.851839350278</v>
      </c>
      <c r="CC24" s="18">
        <v>0</v>
      </c>
      <c r="CD24" s="18">
        <v>0</v>
      </c>
      <c r="CE24" s="26">
        <f t="shared" si="38"/>
        <v>-2900.1625462929132</v>
      </c>
      <c r="CF24" s="26">
        <f t="shared" si="39"/>
        <v>-3936.851839350278</v>
      </c>
      <c r="CG24" s="26"/>
      <c r="CH24" s="27"/>
      <c r="CI24" s="27"/>
      <c r="CJ24" s="23" t="s">
        <v>176</v>
      </c>
      <c r="CK24" s="26">
        <f t="shared" si="8"/>
        <v>77474.80756380741</v>
      </c>
      <c r="CL24" s="26">
        <f>(BE25*F25*BQ24)+((CE24)/2)</f>
        <v>42694.3015140936</v>
      </c>
      <c r="CM24" s="26">
        <f>(BF25*G25*BR24)+((CF24)/2)</f>
        <v>34780.50604971382</v>
      </c>
      <c r="CN24" s="27">
        <f t="shared" si="9"/>
        <v>0.053639287299639064</v>
      </c>
      <c r="CO24" s="27">
        <f t="shared" si="10"/>
        <v>0.056303096604342955</v>
      </c>
      <c r="CP24" s="27">
        <f t="shared" si="11"/>
        <v>0.05069506530059499</v>
      </c>
      <c r="CQ24" s="23" t="s">
        <v>176</v>
      </c>
      <c r="CR24" s="26">
        <f t="shared" si="12"/>
        <v>77857.65727542316</v>
      </c>
      <c r="CS24" s="26">
        <f t="shared" si="40"/>
        <v>42851.08399143777</v>
      </c>
      <c r="CT24" s="26">
        <f t="shared" si="41"/>
        <v>35006.57328398539</v>
      </c>
      <c r="CU24" s="27">
        <f t="shared" si="13"/>
        <v>0.05212752988471463</v>
      </c>
      <c r="CV24" s="27">
        <f t="shared" si="14"/>
        <v>0.054732408650431136</v>
      </c>
      <c r="CW24" s="27">
        <f t="shared" si="15"/>
        <v>0.049257867702118666</v>
      </c>
      <c r="CX24" s="28">
        <f t="shared" si="20"/>
        <v>0.05001171030255283</v>
      </c>
      <c r="CY24" s="28">
        <f t="shared" si="21"/>
        <v>0.05284194786307473</v>
      </c>
      <c r="CZ24" s="28">
        <f t="shared" si="22"/>
        <v>0.046924331431910674</v>
      </c>
      <c r="DA24" s="23" t="s">
        <v>176</v>
      </c>
    </row>
    <row r="25" spans="1:105" ht="12">
      <c r="A25" s="23" t="s">
        <v>173</v>
      </c>
      <c r="B25" s="18">
        <v>35595</v>
      </c>
      <c r="C25" s="18">
        <v>31946</v>
      </c>
      <c r="D25" s="28">
        <f t="shared" si="16"/>
        <v>0.05202091651516126</v>
      </c>
      <c r="E25" s="28">
        <f t="shared" si="17"/>
        <v>0.050558988123876325</v>
      </c>
      <c r="F25" s="31">
        <v>0.9544146941070485</v>
      </c>
      <c r="G25" s="31">
        <v>0.9289969944722714</v>
      </c>
      <c r="H25" s="55">
        <v>0.9221502250825339</v>
      </c>
      <c r="I25" s="55">
        <v>0.8776569669244051</v>
      </c>
      <c r="J25" s="23" t="s">
        <v>169</v>
      </c>
      <c r="K25" s="18">
        <v>38234</v>
      </c>
      <c r="L25" s="18">
        <v>35708</v>
      </c>
      <c r="M25" s="26">
        <f>H23*K25</f>
        <v>36806.00558677697</v>
      </c>
      <c r="N25" s="26">
        <f>I23*L25</f>
        <v>33529.6372071051</v>
      </c>
      <c r="O25" s="26">
        <f>B25-M25</f>
        <v>-1211.0055867769697</v>
      </c>
      <c r="P25" s="26">
        <f>C25-N25</f>
        <v>-1583.637207105101</v>
      </c>
      <c r="Q25" s="23" t="s">
        <v>179</v>
      </c>
      <c r="R25" s="32">
        <v>1</v>
      </c>
      <c r="S25" s="32">
        <v>1</v>
      </c>
      <c r="T25" s="26">
        <f>(R25*H25*B25)</f>
        <v>32823.93726181279</v>
      </c>
      <c r="U25" s="26">
        <f>(S25*I25*C25)</f>
        <v>28037.629465367045</v>
      </c>
      <c r="V25" s="28">
        <f t="shared" si="23"/>
        <v>-0.10282011775668456</v>
      </c>
      <c r="W25" s="28">
        <f t="shared" si="24"/>
        <v>-0.14838332852276284</v>
      </c>
      <c r="X25" s="26">
        <f t="shared" si="25"/>
        <v>-3374.961094497617</v>
      </c>
      <c r="Y25" s="26">
        <f t="shared" si="26"/>
        <v>-4160.316783959053</v>
      </c>
      <c r="Z25" s="32">
        <v>1</v>
      </c>
      <c r="AA25" s="32">
        <v>1</v>
      </c>
      <c r="AB25" s="26">
        <f t="shared" si="27"/>
        <v>-3374.961094497617</v>
      </c>
      <c r="AC25" s="26">
        <f t="shared" si="28"/>
        <v>-4160.316783959053</v>
      </c>
      <c r="AD25" s="18">
        <v>0</v>
      </c>
      <c r="AE25" s="18">
        <v>0</v>
      </c>
      <c r="AF25" s="26">
        <f t="shared" si="29"/>
        <v>-3374.961094497617</v>
      </c>
      <c r="AG25" s="26">
        <f t="shared" si="30"/>
        <v>-4160.316783959053</v>
      </c>
      <c r="AI25" s="27"/>
      <c r="AJ25" s="27"/>
      <c r="AK25" s="23" t="s">
        <v>180</v>
      </c>
      <c r="AL25" s="26">
        <f t="shared" si="0"/>
        <v>38218.684922465734</v>
      </c>
      <c r="AM25" s="26">
        <f>(B26*F26*R25)+((AF25)/2)</f>
        <v>21446.685678395483</v>
      </c>
      <c r="AN25" s="26">
        <f>(C26*G26*S25)+((AG25)/2)</f>
        <v>16771.99924407025</v>
      </c>
      <c r="AO25" s="27">
        <f t="shared" si="1"/>
        <v>0.028158377956878165</v>
      </c>
      <c r="AP25" s="27">
        <f t="shared" si="2"/>
        <v>0.0302859793962573</v>
      </c>
      <c r="AQ25" s="27">
        <f t="shared" si="3"/>
        <v>0.0258373911805628</v>
      </c>
      <c r="AR25" s="23" t="s">
        <v>180</v>
      </c>
      <c r="AS25" s="26">
        <f t="shared" si="4"/>
        <v>53326.28884872317</v>
      </c>
      <c r="AT25" s="26">
        <f t="shared" si="42"/>
        <v>29448.976167315173</v>
      </c>
      <c r="AU25" s="26">
        <f t="shared" si="31"/>
        <v>23877.31268140799</v>
      </c>
      <c r="AV25" s="28">
        <f t="shared" si="5"/>
        <v>0.0377148100469957</v>
      </c>
      <c r="AW25" s="28">
        <f t="shared" si="6"/>
        <v>0.03992065408967154</v>
      </c>
      <c r="AX25" s="28">
        <f t="shared" si="7"/>
        <v>0.035308553984153626</v>
      </c>
      <c r="AY25" s="28">
        <f>(B27+C27)/($B$32+$C$32)</f>
        <v>0.02497834511055391</v>
      </c>
      <c r="AZ25" s="28">
        <f>D27</f>
        <v>0.02734550832743875</v>
      </c>
      <c r="BA25" s="28">
        <f>E27</f>
        <v>0.02241491732293434</v>
      </c>
      <c r="BB25" s="23" t="s">
        <v>180</v>
      </c>
      <c r="BC25" s="22" t="s">
        <v>12</v>
      </c>
      <c r="BD25" s="25" t="s">
        <v>173</v>
      </c>
      <c r="BE25" s="26">
        <f t="shared" si="43"/>
        <v>46252.832295862325</v>
      </c>
      <c r="BF25" s="26">
        <f t="shared" si="44"/>
        <v>39557.64355326538</v>
      </c>
      <c r="BG25" s="28">
        <f t="shared" si="18"/>
        <v>0.06269974576569622</v>
      </c>
      <c r="BH25" s="28">
        <f t="shared" si="19"/>
        <v>0.05849582871919804</v>
      </c>
      <c r="BI25" s="23" t="s">
        <v>169</v>
      </c>
      <c r="BJ25" s="26">
        <f>B23</f>
        <v>49682</v>
      </c>
      <c r="BK25" s="26">
        <f>C23</f>
        <v>44216</v>
      </c>
      <c r="BL25" s="26">
        <f>H23*BJ25</f>
        <v>47826.43640639885</v>
      </c>
      <c r="BM25" s="26">
        <f>I23*BK25</f>
        <v>41518.607559912605</v>
      </c>
      <c r="BN25" s="26">
        <f t="shared" si="45"/>
        <v>-1573.604110536522</v>
      </c>
      <c r="BO25" s="26">
        <f t="shared" si="46"/>
        <v>-1960.9640066472275</v>
      </c>
      <c r="BP25" s="23" t="s">
        <v>179</v>
      </c>
      <c r="BQ25" s="32">
        <v>1</v>
      </c>
      <c r="BR25" s="32">
        <v>1</v>
      </c>
      <c r="BS25" s="26">
        <f>(BQ25*H25*BE25)</f>
        <v>42652.059712334136</v>
      </c>
      <c r="BT25" s="26">
        <f>(BR25*I25*BF25)</f>
        <v>34718.041459635635</v>
      </c>
      <c r="BU25" s="28">
        <f t="shared" si="32"/>
        <v>-0.10282011775668452</v>
      </c>
      <c r="BV25" s="28">
        <f t="shared" si="33"/>
        <v>-0.14838332852276281</v>
      </c>
      <c r="BW25" s="26">
        <f t="shared" si="34"/>
        <v>-4385.489802187336</v>
      </c>
      <c r="BX25" s="26">
        <f t="shared" si="35"/>
        <v>-5151.5785515720145</v>
      </c>
      <c r="BY25" s="32">
        <v>1</v>
      </c>
      <c r="BZ25" s="32">
        <v>1</v>
      </c>
      <c r="CA25" s="26">
        <f t="shared" si="36"/>
        <v>-4385.489802187336</v>
      </c>
      <c r="CB25" s="26">
        <f t="shared" si="37"/>
        <v>-5151.5785515720145</v>
      </c>
      <c r="CC25" s="18">
        <v>0</v>
      </c>
      <c r="CD25" s="18">
        <v>0</v>
      </c>
      <c r="CE25" s="26">
        <f t="shared" si="38"/>
        <v>-4385.489802187336</v>
      </c>
      <c r="CF25" s="26">
        <f t="shared" si="39"/>
        <v>-5151.5785515720145</v>
      </c>
      <c r="CG25" s="26"/>
      <c r="CH25" s="27"/>
      <c r="CI25" s="27"/>
      <c r="CJ25" s="23" t="s">
        <v>180</v>
      </c>
      <c r="CK25" s="26">
        <f t="shared" si="8"/>
        <v>59877.14335469722</v>
      </c>
      <c r="CL25" s="26">
        <f>(BE26*F26*BQ25)+((CE25)/2)</f>
        <v>34084.896071014606</v>
      </c>
      <c r="CM25" s="26">
        <f>(BF26*G26*BR25)+((CF25)/2)</f>
        <v>25792.247283682613</v>
      </c>
      <c r="CN25" s="27">
        <f t="shared" si="9"/>
        <v>0.041455634367844045</v>
      </c>
      <c r="CO25" s="27">
        <f t="shared" si="10"/>
        <v>0.04494944590209131</v>
      </c>
      <c r="CP25" s="27">
        <f t="shared" si="11"/>
        <v>0.03759403783333229</v>
      </c>
      <c r="CQ25" s="23" t="s">
        <v>180</v>
      </c>
      <c r="CR25" s="26">
        <f t="shared" si="12"/>
        <v>67833.03281821043</v>
      </c>
      <c r="CS25" s="26">
        <f t="shared" si="40"/>
        <v>38266.5699101468</v>
      </c>
      <c r="CT25" s="26">
        <f t="shared" si="41"/>
        <v>29566.462908063622</v>
      </c>
      <c r="CU25" s="27">
        <f t="shared" si="13"/>
        <v>0.045415808401394954</v>
      </c>
      <c r="CV25" s="27">
        <f t="shared" si="14"/>
        <v>0.04887674585760631</v>
      </c>
      <c r="CW25" s="27">
        <f t="shared" si="15"/>
        <v>0.0416030699871802</v>
      </c>
      <c r="CX25" s="28">
        <f t="shared" si="20"/>
        <v>0.037714810046995714</v>
      </c>
      <c r="CY25" s="28">
        <f t="shared" si="21"/>
        <v>0.03992065408967154</v>
      </c>
      <c r="CZ25" s="28">
        <f t="shared" si="22"/>
        <v>0.035308553984153626</v>
      </c>
      <c r="DA25" s="23" t="s">
        <v>180</v>
      </c>
    </row>
    <row r="26" spans="1:105" ht="12">
      <c r="A26" s="23" t="s">
        <v>175</v>
      </c>
      <c r="B26" s="18">
        <v>24858</v>
      </c>
      <c r="C26" s="18">
        <v>21088</v>
      </c>
      <c r="D26" s="28">
        <f t="shared" si="16"/>
        <v>0.03632914574333133</v>
      </c>
      <c r="E26" s="28">
        <f t="shared" si="17"/>
        <v>0.03337469296801803</v>
      </c>
      <c r="F26" s="31">
        <v>0.9306527566837353</v>
      </c>
      <c r="G26" s="31">
        <v>0.8939756086897657</v>
      </c>
      <c r="H26" s="55">
        <v>0.881596024331321</v>
      </c>
      <c r="I26" s="55">
        <v>0.8256196853931709</v>
      </c>
      <c r="J26" s="23" t="s">
        <v>171</v>
      </c>
      <c r="K26" s="18">
        <v>28030</v>
      </c>
      <c r="L26" s="18">
        <v>25717</v>
      </c>
      <c r="M26" s="26">
        <f>H24*K26</f>
        <v>26540.390125536946</v>
      </c>
      <c r="N26" s="26">
        <f>I24*L26</f>
        <v>23459.564074973267</v>
      </c>
      <c r="O26" s="26">
        <f>B26-M26</f>
        <v>-1682.3901255369456</v>
      </c>
      <c r="P26" s="26">
        <f>C26-N26</f>
        <v>-2371.5640749732665</v>
      </c>
      <c r="Q26" s="23" t="s">
        <v>181</v>
      </c>
      <c r="R26" s="32">
        <v>1</v>
      </c>
      <c r="S26" s="32">
        <v>1</v>
      </c>
      <c r="T26" s="26">
        <f>(R26*H26*B26)</f>
        <v>21914.713972827976</v>
      </c>
      <c r="U26" s="26">
        <f>(S26*I26*C26)</f>
        <v>17410.667925571186</v>
      </c>
      <c r="V26" s="28">
        <f t="shared" si="23"/>
        <v>-0.13579688532783887</v>
      </c>
      <c r="W26" s="28">
        <f t="shared" si="24"/>
        <v>-0.201220026144479</v>
      </c>
      <c r="X26" s="26">
        <f t="shared" si="25"/>
        <v>-2975.9499003605088</v>
      </c>
      <c r="Y26" s="26">
        <f t="shared" si="26"/>
        <v>-3503.375055176276</v>
      </c>
      <c r="Z26" s="32">
        <v>1</v>
      </c>
      <c r="AA26" s="32">
        <v>1</v>
      </c>
      <c r="AB26" s="26">
        <f t="shared" si="27"/>
        <v>-2975.9499003605088</v>
      </c>
      <c r="AC26" s="26">
        <f t="shared" si="28"/>
        <v>-3503.375055176276</v>
      </c>
      <c r="AD26" s="18">
        <v>0</v>
      </c>
      <c r="AE26" s="18">
        <v>0</v>
      </c>
      <c r="AF26" s="26">
        <f t="shared" si="29"/>
        <v>-2975.9499003605088</v>
      </c>
      <c r="AG26" s="26">
        <f t="shared" si="30"/>
        <v>-3503.375055176276</v>
      </c>
      <c r="AI26" s="27"/>
      <c r="AJ26" s="27"/>
      <c r="AK26" s="23" t="s">
        <v>182</v>
      </c>
      <c r="AL26" s="26">
        <f t="shared" si="0"/>
        <v>25349.18490537975</v>
      </c>
      <c r="AM26" s="26">
        <f>(B27*F27*R26)+((AF26)/2)</f>
        <v>15205.01792892503</v>
      </c>
      <c r="AN26" s="26">
        <f>(C27*G27*S26)+((AG26)/2)</f>
        <v>10144.16697645472</v>
      </c>
      <c r="AO26" s="27">
        <f t="shared" si="1"/>
        <v>0.018676517282385407</v>
      </c>
      <c r="AP26" s="27">
        <f t="shared" si="2"/>
        <v>0.021471795997785995</v>
      </c>
      <c r="AQ26" s="27">
        <f t="shared" si="3"/>
        <v>0.015627165644207425</v>
      </c>
      <c r="AR26" s="23" t="s">
        <v>182</v>
      </c>
      <c r="AS26" s="26">
        <f t="shared" si="4"/>
        <v>32846.05694286238</v>
      </c>
      <c r="AT26" s="26">
        <f t="shared" si="42"/>
        <v>18938.764072467467</v>
      </c>
      <c r="AU26" s="26">
        <f t="shared" si="31"/>
        <v>13907.292870394911</v>
      </c>
      <c r="AV26" s="28">
        <f t="shared" si="5"/>
        <v>0.023230245815662458</v>
      </c>
      <c r="AW26" s="28">
        <f t="shared" si="6"/>
        <v>0.025673145481437662</v>
      </c>
      <c r="AX26" s="28">
        <f t="shared" si="7"/>
        <v>0.020565396434671878</v>
      </c>
      <c r="AY26" s="28">
        <f>(B28+C28)/($B$32+$C$32)</f>
        <v>0.01890585821746068</v>
      </c>
      <c r="AZ26" s="28">
        <f>D28</f>
        <v>0.0218182402768603</v>
      </c>
      <c r="BA26" s="28">
        <f>E28</f>
        <v>0.015752006786356385</v>
      </c>
      <c r="BB26" s="23" t="s">
        <v>182</v>
      </c>
      <c r="BC26" s="22" t="s">
        <v>12</v>
      </c>
      <c r="BD26" s="25" t="s">
        <v>175</v>
      </c>
      <c r="BE26" s="26">
        <f t="shared" si="43"/>
        <v>38980.8558687121</v>
      </c>
      <c r="BF26" s="26">
        <f t="shared" si="44"/>
        <v>31732.45028580317</v>
      </c>
      <c r="BG26" s="28">
        <f t="shared" si="18"/>
        <v>0.05284194786307473</v>
      </c>
      <c r="BH26" s="28">
        <f t="shared" si="19"/>
        <v>0.046924331431910674</v>
      </c>
      <c r="BI26" s="23" t="s">
        <v>171</v>
      </c>
      <c r="BJ26" s="26">
        <f>B24</f>
        <v>43955</v>
      </c>
      <c r="BK26" s="26">
        <f>C24</f>
        <v>38698</v>
      </c>
      <c r="BL26" s="26">
        <f>H24*BJ26</f>
        <v>41619.081268925314</v>
      </c>
      <c r="BM26" s="26">
        <f>I24*BK26</f>
        <v>35301.093073582284</v>
      </c>
      <c r="BN26" s="26">
        <f t="shared" si="45"/>
        <v>-2638.2254002132177</v>
      </c>
      <c r="BO26" s="26">
        <f t="shared" si="46"/>
        <v>-3568.642787779114</v>
      </c>
      <c r="BP26" s="23" t="s">
        <v>181</v>
      </c>
      <c r="BQ26" s="32">
        <v>1</v>
      </c>
      <c r="BR26" s="32">
        <v>1</v>
      </c>
      <c r="BS26" s="26">
        <f>(BQ26*H26*BE26)</f>
        <v>34365.36755888883</v>
      </c>
      <c r="BT26" s="26">
        <f>(BR26*I26*BF26)</f>
        <v>26198.935621719247</v>
      </c>
      <c r="BU26" s="28">
        <f t="shared" si="32"/>
        <v>-0.13579688532783887</v>
      </c>
      <c r="BV26" s="28">
        <f t="shared" si="33"/>
        <v>-0.20122002614447895</v>
      </c>
      <c r="BW26" s="26">
        <f t="shared" si="34"/>
        <v>-4666.7098776434605</v>
      </c>
      <c r="BX26" s="26">
        <f t="shared" si="35"/>
        <v>-5271.750510759868</v>
      </c>
      <c r="BY26" s="32">
        <v>1</v>
      </c>
      <c r="BZ26" s="32">
        <v>1</v>
      </c>
      <c r="CA26" s="26">
        <f t="shared" si="36"/>
        <v>-4666.7098776434605</v>
      </c>
      <c r="CB26" s="26">
        <f t="shared" si="37"/>
        <v>-5271.750510759868</v>
      </c>
      <c r="CC26" s="18">
        <v>0</v>
      </c>
      <c r="CD26" s="18">
        <v>0</v>
      </c>
      <c r="CE26" s="26">
        <f t="shared" si="38"/>
        <v>-4666.7098776434605</v>
      </c>
      <c r="CF26" s="26">
        <f t="shared" si="39"/>
        <v>-5271.750510759868</v>
      </c>
      <c r="CG26" s="26"/>
      <c r="CJ26" s="23" t="s">
        <v>182</v>
      </c>
      <c r="CK26" s="26">
        <f t="shared" si="8"/>
        <v>41358.77967247027</v>
      </c>
      <c r="CL26" s="26">
        <f>(BE27*F27*BQ26)+((CE26)/2)</f>
        <v>23939.508588404686</v>
      </c>
      <c r="CM26" s="26">
        <f>(BF27*G27*BR26)+((CF26)/2)</f>
        <v>17419.271084065585</v>
      </c>
      <c r="CN26" s="27">
        <f t="shared" si="9"/>
        <v>0.028634539858482504</v>
      </c>
      <c r="CO26" s="27">
        <f t="shared" si="10"/>
        <v>0.031570219371512824</v>
      </c>
      <c r="CP26" s="27">
        <f t="shared" si="11"/>
        <v>0.025389828538815554</v>
      </c>
      <c r="CQ26" s="23" t="s">
        <v>182</v>
      </c>
      <c r="CR26" s="26">
        <f t="shared" si="12"/>
        <v>50625.84279220474</v>
      </c>
      <c r="CS26" s="26">
        <f t="shared" si="40"/>
        <v>29698.657681245368</v>
      </c>
      <c r="CT26" s="26">
        <f t="shared" si="41"/>
        <v>20927.185110959377</v>
      </c>
      <c r="CU26" s="27">
        <f t="shared" si="13"/>
        <v>0.033895190600893584</v>
      </c>
      <c r="CV26" s="27">
        <f t="shared" si="14"/>
        <v>0.03793320768510733</v>
      </c>
      <c r="CW26" s="27">
        <f t="shared" si="15"/>
        <v>0.0294467129704741</v>
      </c>
      <c r="CX26" s="28">
        <f t="shared" si="20"/>
        <v>0.023230245815662465</v>
      </c>
      <c r="CY26" s="28">
        <f t="shared" si="21"/>
        <v>0.025673145481437662</v>
      </c>
      <c r="CZ26" s="28">
        <f t="shared" si="22"/>
        <v>0.020565396434671878</v>
      </c>
      <c r="DA26" s="23" t="s">
        <v>182</v>
      </c>
    </row>
    <row r="27" spans="1:105" ht="12">
      <c r="A27" s="23" t="s">
        <v>183</v>
      </c>
      <c r="B27" s="18">
        <v>18711</v>
      </c>
      <c r="C27" s="18">
        <v>14163</v>
      </c>
      <c r="D27" s="28">
        <f t="shared" si="16"/>
        <v>0.02734550832743875</v>
      </c>
      <c r="E27" s="28">
        <f t="shared" si="17"/>
        <v>0.02241491732293434</v>
      </c>
      <c r="F27" s="31">
        <v>0.8921486226874719</v>
      </c>
      <c r="G27" s="31">
        <v>0.839924769049132</v>
      </c>
      <c r="H27" s="55">
        <v>0.8171468306301161</v>
      </c>
      <c r="I27" s="55">
        <v>0.7449900897300287</v>
      </c>
      <c r="J27" s="23" t="s">
        <v>173</v>
      </c>
      <c r="K27" s="18">
        <v>22616</v>
      </c>
      <c r="L27" s="18">
        <v>18949</v>
      </c>
      <c r="M27" s="26">
        <f>H25*K27</f>
        <v>20855.349490466586</v>
      </c>
      <c r="N27" s="26">
        <f>I25*L27</f>
        <v>16630.72186625055</v>
      </c>
      <c r="O27" s="26">
        <f>B27-M27</f>
        <v>-2144.349490466586</v>
      </c>
      <c r="P27" s="26">
        <f>C27-N27</f>
        <v>-2467.721866250551</v>
      </c>
      <c r="Q27" s="23" t="s">
        <v>184</v>
      </c>
      <c r="R27" s="32">
        <v>1</v>
      </c>
      <c r="S27" s="32">
        <v>1</v>
      </c>
      <c r="T27" s="26">
        <f>(R27*H27*B27)</f>
        <v>15289.634347920102</v>
      </c>
      <c r="U27" s="26">
        <f>(S27*I27*C27)</f>
        <v>10551.294640846396</v>
      </c>
      <c r="V27" s="28">
        <f t="shared" si="23"/>
        <v>-0.21210132238549465</v>
      </c>
      <c r="W27" s="28">
        <f t="shared" si="24"/>
        <v>-0.2968207199527655</v>
      </c>
      <c r="X27" s="26">
        <f t="shared" si="25"/>
        <v>-3242.9516639845338</v>
      </c>
      <c r="Y27" s="26">
        <f t="shared" si="26"/>
        <v>-3131.8428717297834</v>
      </c>
      <c r="Z27" s="32">
        <v>1</v>
      </c>
      <c r="AA27" s="32">
        <v>1</v>
      </c>
      <c r="AB27" s="26">
        <f t="shared" si="27"/>
        <v>-3242.9516639845338</v>
      </c>
      <c r="AC27" s="26">
        <f t="shared" si="28"/>
        <v>-3131.8428717297834</v>
      </c>
      <c r="AD27" s="18">
        <v>0</v>
      </c>
      <c r="AE27" s="18">
        <v>0</v>
      </c>
      <c r="AF27" s="26">
        <f t="shared" si="29"/>
        <v>-3242.9516639845338</v>
      </c>
      <c r="AG27" s="26">
        <f t="shared" si="30"/>
        <v>-3131.8428717297834</v>
      </c>
      <c r="AI27" s="35" t="s">
        <v>185</v>
      </c>
      <c r="AJ27" s="35" t="s">
        <v>186</v>
      </c>
      <c r="AK27" s="23" t="s">
        <v>187</v>
      </c>
      <c r="AL27" s="26">
        <f t="shared" si="0"/>
        <v>16765.26735838736</v>
      </c>
      <c r="AM27" s="26">
        <f>(B28*F28*R27)+((AF27)/2)</f>
        <v>10790.64268748198</v>
      </c>
      <c r="AN27" s="26">
        <f>(C28*G28*S27)+((AG27)/2)</f>
        <v>5974.6246709053785</v>
      </c>
      <c r="AO27" s="27">
        <f t="shared" si="1"/>
        <v>0.01235214492030006</v>
      </c>
      <c r="AP27" s="27">
        <f t="shared" si="2"/>
        <v>0.015238027311355805</v>
      </c>
      <c r="AQ27" s="27">
        <f t="shared" si="3"/>
        <v>0.009203954312948152</v>
      </c>
      <c r="AR27" s="23" t="s">
        <v>187</v>
      </c>
      <c r="AS27" s="26">
        <f t="shared" si="4"/>
        <v>19466.134453052182</v>
      </c>
      <c r="AT27" s="26">
        <f t="shared" si="42"/>
        <v>12046.682683935569</v>
      </c>
      <c r="AU27" s="26">
        <f t="shared" si="31"/>
        <v>7419.451769116613</v>
      </c>
      <c r="AV27" s="28">
        <f t="shared" si="5"/>
        <v>0.013767347758416535</v>
      </c>
      <c r="AW27" s="28">
        <f t="shared" si="6"/>
        <v>0.016330328416890152</v>
      </c>
      <c r="AX27" s="28">
        <f t="shared" si="7"/>
        <v>0.010971507422887685</v>
      </c>
      <c r="AY27" s="28">
        <f>(B29+C29)/($B$32+$C$32)</f>
        <v>0.014085555808829116</v>
      </c>
      <c r="AZ27" s="28">
        <f>D29</f>
        <v>0.017290615628343105</v>
      </c>
      <c r="BA27" s="28">
        <f>E29</f>
        <v>0.010614760325137373</v>
      </c>
      <c r="BB27" s="23" t="s">
        <v>187</v>
      </c>
      <c r="BC27" s="22" t="s">
        <v>12</v>
      </c>
      <c r="BD27" s="25" t="s">
        <v>183</v>
      </c>
      <c r="BE27" s="26">
        <f t="shared" si="43"/>
        <v>29448.976167315173</v>
      </c>
      <c r="BF27" s="26">
        <f t="shared" si="44"/>
        <v>23877.31268140799</v>
      </c>
      <c r="BG27" s="28">
        <f t="shared" si="18"/>
        <v>0.03992065408967154</v>
      </c>
      <c r="BH27" s="28">
        <f t="shared" si="19"/>
        <v>0.035308553984153626</v>
      </c>
      <c r="BI27" s="23" t="s">
        <v>173</v>
      </c>
      <c r="BJ27" s="26">
        <f>B25</f>
        <v>35595</v>
      </c>
      <c r="BK27" s="26">
        <f>C25</f>
        <v>31946</v>
      </c>
      <c r="BL27" s="26">
        <f>H25*BJ27</f>
        <v>32823.93726181279</v>
      </c>
      <c r="BM27" s="26">
        <f>I25*BK27</f>
        <v>28037.629465367045</v>
      </c>
      <c r="BN27" s="26">
        <f t="shared" si="45"/>
        <v>-3374.9610944976157</v>
      </c>
      <c r="BO27" s="26">
        <f t="shared" si="46"/>
        <v>-4160.316783959053</v>
      </c>
      <c r="BP27" s="23" t="s">
        <v>184</v>
      </c>
      <c r="BQ27" s="32">
        <v>1</v>
      </c>
      <c r="BR27" s="32">
        <v>1</v>
      </c>
      <c r="BS27" s="26">
        <f>(BQ27*H27*BE27)</f>
        <v>24064.137540423417</v>
      </c>
      <c r="BT27" s="26">
        <f>(BR27*I27*BF27)</f>
        <v>17788.36131703409</v>
      </c>
      <c r="BU27" s="28">
        <f t="shared" si="32"/>
        <v>-0.21210132238549462</v>
      </c>
      <c r="BV27" s="28">
        <f t="shared" si="33"/>
        <v>-0.29682071995276543</v>
      </c>
      <c r="BW27" s="26">
        <f t="shared" si="34"/>
        <v>-5104.035394390231</v>
      </c>
      <c r="BX27" s="26">
        <f t="shared" si="35"/>
        <v>-5279.954212901981</v>
      </c>
      <c r="BY27" s="32">
        <v>1</v>
      </c>
      <c r="BZ27" s="32">
        <v>1</v>
      </c>
      <c r="CA27" s="26">
        <f t="shared" si="36"/>
        <v>-5104.035394390231</v>
      </c>
      <c r="CB27" s="26">
        <f t="shared" si="37"/>
        <v>-5279.954212901981</v>
      </c>
      <c r="CC27" s="18">
        <v>0</v>
      </c>
      <c r="CD27" s="18">
        <v>0</v>
      </c>
      <c r="CE27" s="26">
        <f t="shared" si="38"/>
        <v>-5104.035394390231</v>
      </c>
      <c r="CF27" s="26">
        <f t="shared" si="39"/>
        <v>-5279.954212901981</v>
      </c>
      <c r="CG27" s="26"/>
      <c r="CH27" s="35" t="s">
        <v>185</v>
      </c>
      <c r="CI27" s="35" t="s">
        <v>186</v>
      </c>
      <c r="CJ27" s="23" t="s">
        <v>187</v>
      </c>
      <c r="CK27" s="26">
        <f t="shared" si="8"/>
        <v>21090.260588847403</v>
      </c>
      <c r="CL27" s="26">
        <f>(BE28*F28*BQ27)+((CE27)/2)</f>
        <v>13193.858401661271</v>
      </c>
      <c r="CM27" s="26">
        <f>(BF28*G28*BR27)+((CF27)/2)</f>
        <v>7896.402187186132</v>
      </c>
      <c r="CN27" s="27">
        <f t="shared" si="9"/>
        <v>0.014601734196212647</v>
      </c>
      <c r="CO27" s="27">
        <f t="shared" si="10"/>
        <v>0.017399396589906416</v>
      </c>
      <c r="CP27" s="27">
        <f t="shared" si="11"/>
        <v>0.01150956872067869</v>
      </c>
      <c r="CQ27" s="23" t="s">
        <v>187</v>
      </c>
      <c r="CR27" s="26">
        <f t="shared" si="12"/>
        <v>31468.509250165298</v>
      </c>
      <c r="CS27" s="26">
        <f t="shared" si="40"/>
        <v>18960.102146033187</v>
      </c>
      <c r="CT27" s="26">
        <f t="shared" si="41"/>
        <v>12508.40710413211</v>
      </c>
      <c r="CU27" s="27">
        <f t="shared" si="13"/>
        <v>0.02106890592100075</v>
      </c>
      <c r="CV27" s="27">
        <f t="shared" si="14"/>
        <v>0.024217171703706672</v>
      </c>
      <c r="CW27" s="27">
        <f t="shared" si="15"/>
        <v>0.017600621954661524</v>
      </c>
      <c r="CX27" s="28">
        <f t="shared" si="20"/>
        <v>0.01376734775841654</v>
      </c>
      <c r="CY27" s="28">
        <f t="shared" si="21"/>
        <v>0.016330328416890152</v>
      </c>
      <c r="CZ27" s="28">
        <f t="shared" si="22"/>
        <v>0.010971507422887685</v>
      </c>
      <c r="DA27" s="23" t="s">
        <v>187</v>
      </c>
    </row>
    <row r="28" spans="1:105" ht="12">
      <c r="A28" s="23" t="s">
        <v>181</v>
      </c>
      <c r="B28" s="18">
        <v>14929</v>
      </c>
      <c r="C28" s="18">
        <v>9953</v>
      </c>
      <c r="D28" s="28">
        <f t="shared" si="16"/>
        <v>0.0218182402768603</v>
      </c>
      <c r="E28" s="28">
        <f t="shared" si="17"/>
        <v>0.015752006786356385</v>
      </c>
      <c r="F28" s="31">
        <v>0.8314099081970827</v>
      </c>
      <c r="G28" s="31">
        <v>0.7576154030714629</v>
      </c>
      <c r="H28" s="56">
        <v>0.4387551146602883</v>
      </c>
      <c r="I28" s="56">
        <v>0.3524677375633261</v>
      </c>
      <c r="J28" s="23" t="s">
        <v>175</v>
      </c>
      <c r="K28" s="18">
        <v>19595</v>
      </c>
      <c r="L28" s="18">
        <v>15092</v>
      </c>
      <c r="M28" s="26">
        <f>H26*K28</f>
        <v>17274.874096772233</v>
      </c>
      <c r="N28" s="26">
        <f>I26*L28</f>
        <v>12460.252291953735</v>
      </c>
      <c r="O28" s="26">
        <f>B28-M28</f>
        <v>-2345.8740967722333</v>
      </c>
      <c r="P28" s="26">
        <f>C28-N28</f>
        <v>-2507.252291953735</v>
      </c>
      <c r="Q28" s="23" t="s">
        <v>188</v>
      </c>
      <c r="R28" s="32">
        <v>1</v>
      </c>
      <c r="S28" s="32">
        <v>1</v>
      </c>
      <c r="T28" s="26">
        <f>(R28*H28*(B28+B29+B30))</f>
        <v>16852.583954101676</v>
      </c>
      <c r="U28" s="26">
        <f>(S28*I28*(C28+C29+C30))</f>
        <v>7616.475341005914</v>
      </c>
      <c r="V28" s="28">
        <f t="shared" si="23"/>
        <v>-0.2633542232697011</v>
      </c>
      <c r="W28" s="28">
        <f t="shared" si="24"/>
        <v>-0.2526611981212063</v>
      </c>
      <c r="X28" s="26">
        <f t="shared" si="25"/>
        <v>-4438.199157319875</v>
      </c>
      <c r="Y28" s="26">
        <f t="shared" si="26"/>
        <v>-1924.3877851191776</v>
      </c>
      <c r="Z28" s="32">
        <v>1</v>
      </c>
      <c r="AA28" s="32">
        <v>1</v>
      </c>
      <c r="AB28" s="26">
        <f t="shared" si="27"/>
        <v>-4438.199157319875</v>
      </c>
      <c r="AC28" s="26">
        <f t="shared" si="28"/>
        <v>-1924.3877851191776</v>
      </c>
      <c r="AD28" s="18">
        <v>0</v>
      </c>
      <c r="AE28" s="18">
        <v>0</v>
      </c>
      <c r="AF28" s="26">
        <f t="shared" si="29"/>
        <v>-4438.199157319875</v>
      </c>
      <c r="AG28" s="26">
        <f t="shared" si="30"/>
        <v>-1924.3877851191776</v>
      </c>
      <c r="AI28" s="37" t="s">
        <v>14</v>
      </c>
      <c r="AJ28" s="37" t="s">
        <v>14</v>
      </c>
      <c r="AK28" s="23" t="s">
        <v>189</v>
      </c>
      <c r="AL28" s="26">
        <f t="shared" si="0"/>
        <v>17124.080345537073</v>
      </c>
      <c r="AM28" s="26">
        <f>((B29+B30)*F29*R28)+((AF28)/2)</f>
        <v>11883.822072442135</v>
      </c>
      <c r="AN28" s="26">
        <f>((C29+C30)*G29*S28)+((AG28)/2)</f>
        <v>5240.258273094937</v>
      </c>
      <c r="AO28" s="27">
        <f t="shared" si="1"/>
        <v>0.012616507541057299</v>
      </c>
      <c r="AP28" s="27">
        <f t="shared" si="2"/>
        <v>0.0167817627316342</v>
      </c>
      <c r="AQ28" s="27">
        <f t="shared" si="3"/>
        <v>0.008072657345068936</v>
      </c>
      <c r="AR28" s="23" t="s">
        <v>189</v>
      </c>
      <c r="AS28" s="26">
        <f t="shared" si="4"/>
        <v>18106.472352668537</v>
      </c>
      <c r="AT28" s="26">
        <f t="shared" si="42"/>
        <v>12414.3847967818</v>
      </c>
      <c r="AU28" s="26">
        <f t="shared" si="31"/>
        <v>5692.0875558867365</v>
      </c>
      <c r="AV28" s="28">
        <f t="shared" si="5"/>
        <v>0.01280573203470588</v>
      </c>
      <c r="AW28" s="28">
        <f t="shared" si="6"/>
        <v>0.01682878068129409</v>
      </c>
      <c r="AX28" s="28">
        <f t="shared" si="7"/>
        <v>0.008417169194506883</v>
      </c>
      <c r="AY28" s="28">
        <f>(B30+C30)/($B$32+$C$32)</f>
        <v>0.012612263505812628</v>
      </c>
      <c r="AZ28" s="28">
        <f>D30</f>
        <v>0.017026090108207013</v>
      </c>
      <c r="BA28" s="28">
        <f>E30</f>
        <v>0.007832480818414322</v>
      </c>
      <c r="BB28" s="23" t="s">
        <v>189</v>
      </c>
      <c r="BC28" s="22" t="s">
        <v>12</v>
      </c>
      <c r="BD28" s="25" t="s">
        <v>181</v>
      </c>
      <c r="BE28" s="26">
        <f t="shared" si="43"/>
        <v>18938.764072467467</v>
      </c>
      <c r="BF28" s="26">
        <f t="shared" si="44"/>
        <v>13907.292870394911</v>
      </c>
      <c r="BG28" s="28">
        <f t="shared" si="18"/>
        <v>0.025673145481437662</v>
      </c>
      <c r="BH28" s="28">
        <f t="shared" si="19"/>
        <v>0.020565396434671878</v>
      </c>
      <c r="BI28" s="23" t="s">
        <v>175</v>
      </c>
      <c r="BJ28" s="26">
        <f>B26</f>
        <v>24858</v>
      </c>
      <c r="BK28" s="26">
        <f>C26</f>
        <v>21088</v>
      </c>
      <c r="BL28" s="26">
        <f>H26*BJ28</f>
        <v>21914.713972827976</v>
      </c>
      <c r="BM28" s="26">
        <f>I26*BK28</f>
        <v>17410.667925571186</v>
      </c>
      <c r="BN28" s="26">
        <f t="shared" si="45"/>
        <v>-2975.9499003605088</v>
      </c>
      <c r="BO28" s="26">
        <f t="shared" si="46"/>
        <v>-3503.375055176275</v>
      </c>
      <c r="BP28" s="23" t="s">
        <v>188</v>
      </c>
      <c r="BQ28" s="32">
        <v>1</v>
      </c>
      <c r="BR28" s="32">
        <v>1</v>
      </c>
      <c r="BS28" s="26">
        <f>(BQ28*H28*(BE28+BE29+BE30))</f>
        <v>19041.89806935481</v>
      </c>
      <c r="BT28" s="26">
        <f>(BR28*I28*(BF28+BF29+BF30))</f>
        <v>9523.26665551518</v>
      </c>
      <c r="BU28" s="28">
        <f t="shared" si="32"/>
        <v>-0.26335422326970115</v>
      </c>
      <c r="BV28" s="28">
        <f t="shared" si="33"/>
        <v>-0.2526611981212063</v>
      </c>
      <c r="BW28" s="26">
        <f t="shared" si="34"/>
        <v>-5014.764275635758</v>
      </c>
      <c r="BX28" s="26">
        <f t="shared" si="35"/>
        <v>-2406.159963210199</v>
      </c>
      <c r="BY28" s="32">
        <v>1</v>
      </c>
      <c r="BZ28" s="32">
        <v>1</v>
      </c>
      <c r="CA28" s="26">
        <f t="shared" si="36"/>
        <v>-5014.764275635758</v>
      </c>
      <c r="CB28" s="26">
        <f t="shared" si="37"/>
        <v>-2406.159963210199</v>
      </c>
      <c r="CC28" s="18">
        <v>0</v>
      </c>
      <c r="CD28" s="18">
        <v>0</v>
      </c>
      <c r="CE28" s="26">
        <f t="shared" si="38"/>
        <v>-5014.764275635758</v>
      </c>
      <c r="CF28" s="26">
        <f t="shared" si="39"/>
        <v>-2406.159963210199</v>
      </c>
      <c r="CG28" s="26"/>
      <c r="CH28" s="37" t="s">
        <v>14</v>
      </c>
      <c r="CI28" s="37" t="s">
        <v>14</v>
      </c>
      <c r="CJ28" s="23" t="s">
        <v>189</v>
      </c>
      <c r="CK28" s="26">
        <f t="shared" si="8"/>
        <v>17958.079212140605</v>
      </c>
      <c r="CL28" s="26">
        <f>((BE29+BE30)*F29*BQ28)+((CE28)/2)</f>
        <v>12184.177769463662</v>
      </c>
      <c r="CM28" s="26">
        <f>((BF29+BF30)*G29*BR28)+((CF28)/2)</f>
        <v>5773.901442676944</v>
      </c>
      <c r="CN28" s="27">
        <f t="shared" si="9"/>
        <v>0.012433184418255657</v>
      </c>
      <c r="CO28" s="27">
        <f t="shared" si="10"/>
        <v>0.016067880575869036</v>
      </c>
      <c r="CP28" s="27">
        <f t="shared" si="11"/>
        <v>0.008415872680441226</v>
      </c>
      <c r="CQ28" s="23" t="s">
        <v>189</v>
      </c>
      <c r="CR28" s="26">
        <f t="shared" si="12"/>
        <v>21144.240486024035</v>
      </c>
      <c r="CS28" s="26">
        <f t="shared" si="40"/>
        <v>14027.133793719053</v>
      </c>
      <c r="CT28" s="26">
        <f t="shared" si="41"/>
        <v>7117.106692304982</v>
      </c>
      <c r="CU28" s="27">
        <f t="shared" si="13"/>
        <v>0.014156565537616484</v>
      </c>
      <c r="CV28" s="27">
        <f t="shared" si="14"/>
        <v>0.01791643868672046</v>
      </c>
      <c r="CW28" s="27">
        <f t="shared" si="15"/>
        <v>0.010014504905334468</v>
      </c>
      <c r="CX28" s="28">
        <f t="shared" si="20"/>
        <v>0.012805732034705886</v>
      </c>
      <c r="CY28" s="28">
        <f t="shared" si="21"/>
        <v>0.01682878068129409</v>
      </c>
      <c r="CZ28" s="28">
        <f t="shared" si="22"/>
        <v>0.008417169194506883</v>
      </c>
      <c r="DA28" s="23" t="s">
        <v>189</v>
      </c>
    </row>
    <row r="29" spans="1:105" ht="12">
      <c r="A29" s="23" t="s">
        <v>184</v>
      </c>
      <c r="B29" s="18">
        <v>11831</v>
      </c>
      <c r="C29" s="18">
        <v>6707</v>
      </c>
      <c r="D29" s="28">
        <f t="shared" si="16"/>
        <v>0.017290615628343105</v>
      </c>
      <c r="E29" s="28">
        <f t="shared" si="17"/>
        <v>0.010614760325137373</v>
      </c>
      <c r="F29" s="31">
        <v>0.6006099250927164</v>
      </c>
      <c r="G29" s="31">
        <v>0.5321252715901275</v>
      </c>
      <c r="H29" s="57" t="s">
        <v>239</v>
      </c>
      <c r="I29" s="57" t="s">
        <v>239</v>
      </c>
      <c r="J29" s="23" t="s">
        <v>183</v>
      </c>
      <c r="K29" s="18">
        <v>18376</v>
      </c>
      <c r="L29" s="18">
        <v>12803</v>
      </c>
      <c r="M29" s="26">
        <f>H27*K29</f>
        <v>15015.890159659013</v>
      </c>
      <c r="N29" s="26">
        <f>I27*L29</f>
        <v>9538.108118813558</v>
      </c>
      <c r="O29" s="26">
        <f>B29-M29</f>
        <v>-3184.890159659013</v>
      </c>
      <c r="P29" s="26">
        <f>C29-N29</f>
        <v>-2831.1081188135577</v>
      </c>
      <c r="Q29" s="14" t="s">
        <v>14</v>
      </c>
      <c r="R29" s="14" t="s">
        <v>14</v>
      </c>
      <c r="S29" s="14" t="s">
        <v>14</v>
      </c>
      <c r="T29" s="14" t="s">
        <v>14</v>
      </c>
      <c r="U29" s="14" t="s">
        <v>14</v>
      </c>
      <c r="V29" s="14" t="s">
        <v>14</v>
      </c>
      <c r="W29" s="14" t="s">
        <v>14</v>
      </c>
      <c r="X29" s="14" t="s">
        <v>14</v>
      </c>
      <c r="Y29" s="14" t="s">
        <v>14</v>
      </c>
      <c r="Z29" s="14" t="s">
        <v>14</v>
      </c>
      <c r="AA29" s="14" t="s">
        <v>14</v>
      </c>
      <c r="AB29" s="14" t="s">
        <v>14</v>
      </c>
      <c r="AC29" s="14" t="s">
        <v>14</v>
      </c>
      <c r="AD29" s="14" t="s">
        <v>14</v>
      </c>
      <c r="AE29" s="14" t="s">
        <v>14</v>
      </c>
      <c r="AF29" s="14" t="s">
        <v>14</v>
      </c>
      <c r="AG29" s="14" t="s">
        <v>14</v>
      </c>
      <c r="AH29" s="23" t="s">
        <v>191</v>
      </c>
      <c r="AI29" s="38">
        <f>AI16</f>
        <v>0.24812542424609169</v>
      </c>
      <c r="AJ29" s="38">
        <f>AJ16</f>
        <v>0.24769657393326774</v>
      </c>
      <c r="AK29" s="14" t="s">
        <v>14</v>
      </c>
      <c r="AL29" s="33" t="s">
        <v>14</v>
      </c>
      <c r="AM29" s="33" t="s">
        <v>14</v>
      </c>
      <c r="AN29" s="33" t="s">
        <v>14</v>
      </c>
      <c r="AO29" s="15" t="s">
        <v>14</v>
      </c>
      <c r="AP29" s="15" t="s">
        <v>14</v>
      </c>
      <c r="AQ29" s="15" t="s">
        <v>14</v>
      </c>
      <c r="AR29" s="14" t="s">
        <v>14</v>
      </c>
      <c r="AS29" s="33" t="s">
        <v>14</v>
      </c>
      <c r="AT29" s="33" t="s">
        <v>14</v>
      </c>
      <c r="AU29" s="33" t="s">
        <v>14</v>
      </c>
      <c r="AV29" s="39" t="s">
        <v>14</v>
      </c>
      <c r="AW29" s="39" t="s">
        <v>14</v>
      </c>
      <c r="AX29" s="39" t="s">
        <v>14</v>
      </c>
      <c r="AY29" s="39" t="s">
        <v>14</v>
      </c>
      <c r="AZ29" s="39" t="s">
        <v>14</v>
      </c>
      <c r="BA29" s="39" t="s">
        <v>14</v>
      </c>
      <c r="BB29" s="14" t="s">
        <v>14</v>
      </c>
      <c r="BC29" s="22" t="s">
        <v>12</v>
      </c>
      <c r="BD29" s="25" t="s">
        <v>184</v>
      </c>
      <c r="BE29" s="26">
        <f t="shared" si="43"/>
        <v>12046.682683935569</v>
      </c>
      <c r="BF29" s="26">
        <f t="shared" si="44"/>
        <v>7419.451769116613</v>
      </c>
      <c r="BG29" s="28">
        <f t="shared" si="18"/>
        <v>0.016330328416890152</v>
      </c>
      <c r="BH29" s="28">
        <f t="shared" si="19"/>
        <v>0.010971507422887685</v>
      </c>
      <c r="BI29" s="23" t="s">
        <v>183</v>
      </c>
      <c r="BJ29" s="26">
        <f>B27</f>
        <v>18711</v>
      </c>
      <c r="BK29" s="26">
        <f>C27</f>
        <v>14163</v>
      </c>
      <c r="BL29" s="26">
        <f>H27*BJ29</f>
        <v>15289.634347920102</v>
      </c>
      <c r="BM29" s="26">
        <f>I27*BK29</f>
        <v>10551.294640846396</v>
      </c>
      <c r="BN29" s="26">
        <f t="shared" si="45"/>
        <v>-3242.9516639845333</v>
      </c>
      <c r="BO29" s="26">
        <f t="shared" si="46"/>
        <v>-3131.842871729783</v>
      </c>
      <c r="BP29" s="14" t="s">
        <v>14</v>
      </c>
      <c r="BQ29" s="14" t="s">
        <v>14</v>
      </c>
      <c r="BR29" s="14" t="s">
        <v>14</v>
      </c>
      <c r="BS29" s="14" t="s">
        <v>14</v>
      </c>
      <c r="BT29" s="33" t="s">
        <v>14</v>
      </c>
      <c r="BU29" s="39" t="s">
        <v>14</v>
      </c>
      <c r="BV29" s="15" t="s">
        <v>14</v>
      </c>
      <c r="BW29" s="33" t="s">
        <v>14</v>
      </c>
      <c r="BX29" s="33" t="s">
        <v>14</v>
      </c>
      <c r="BY29" s="33" t="s">
        <v>14</v>
      </c>
      <c r="BZ29" s="33" t="s">
        <v>14</v>
      </c>
      <c r="CA29" s="33" t="s">
        <v>14</v>
      </c>
      <c r="CB29" s="33" t="s">
        <v>14</v>
      </c>
      <c r="CC29" s="33" t="s">
        <v>14</v>
      </c>
      <c r="CD29" s="33" t="s">
        <v>14</v>
      </c>
      <c r="CE29" s="33" t="s">
        <v>14</v>
      </c>
      <c r="CF29" s="33" t="s">
        <v>14</v>
      </c>
      <c r="CG29" s="34" t="s">
        <v>191</v>
      </c>
      <c r="CH29" s="38">
        <f>CH13</f>
        <v>0.24812542424609169</v>
      </c>
      <c r="CI29" s="38">
        <f>CI13</f>
        <v>0.24769657393326774</v>
      </c>
      <c r="CJ29" s="14" t="s">
        <v>14</v>
      </c>
      <c r="CK29" s="33" t="s">
        <v>14</v>
      </c>
      <c r="CL29" s="33" t="s">
        <v>14</v>
      </c>
      <c r="CM29" s="33" t="s">
        <v>14</v>
      </c>
      <c r="CN29" s="15" t="s">
        <v>14</v>
      </c>
      <c r="CO29" s="15" t="s">
        <v>14</v>
      </c>
      <c r="CP29" s="15" t="s">
        <v>14</v>
      </c>
      <c r="CQ29" s="14" t="s">
        <v>14</v>
      </c>
      <c r="CR29" s="33" t="s">
        <v>14</v>
      </c>
      <c r="CS29" s="33" t="s">
        <v>14</v>
      </c>
      <c r="CT29" s="33" t="s">
        <v>14</v>
      </c>
      <c r="CU29" s="37" t="s">
        <v>14</v>
      </c>
      <c r="CV29" s="37" t="s">
        <v>14</v>
      </c>
      <c r="CW29" s="37" t="s">
        <v>14</v>
      </c>
      <c r="CX29" s="39" t="s">
        <v>14</v>
      </c>
      <c r="CY29" s="39" t="s">
        <v>14</v>
      </c>
      <c r="CZ29" s="39" t="s">
        <v>14</v>
      </c>
      <c r="DA29" s="14" t="s">
        <v>14</v>
      </c>
    </row>
    <row r="30" spans="1:105" ht="12">
      <c r="A30" s="23" t="s">
        <v>192</v>
      </c>
      <c r="B30" s="18">
        <v>11650</v>
      </c>
      <c r="C30" s="18">
        <v>4949</v>
      </c>
      <c r="D30" s="28">
        <f t="shared" si="16"/>
        <v>0.017026090108207013</v>
      </c>
      <c r="E30" s="28">
        <f t="shared" si="17"/>
        <v>0.007832480818414322</v>
      </c>
      <c r="F30" s="25" t="s">
        <v>190</v>
      </c>
      <c r="G30" s="25" t="s">
        <v>190</v>
      </c>
      <c r="H30" s="57" t="s">
        <v>239</v>
      </c>
      <c r="I30" s="57" t="s">
        <v>239</v>
      </c>
      <c r="J30" s="23" t="s">
        <v>193</v>
      </c>
      <c r="K30" s="18">
        <v>36045</v>
      </c>
      <c r="L30" s="18">
        <v>18788</v>
      </c>
      <c r="M30" s="26">
        <f>H28*K30</f>
        <v>15814.928107930093</v>
      </c>
      <c r="N30" s="26">
        <f>I28*L30</f>
        <v>6622.163853339771</v>
      </c>
      <c r="O30" s="26">
        <f>B30-M30</f>
        <v>-4164.928107930093</v>
      </c>
      <c r="P30" s="26">
        <f>C30-N30</f>
        <v>-1673.1638533397709</v>
      </c>
      <c r="Q30" s="14" t="s">
        <v>14</v>
      </c>
      <c r="R30" s="14" t="s">
        <v>14</v>
      </c>
      <c r="S30" s="14" t="s">
        <v>14</v>
      </c>
      <c r="T30" s="33" t="s">
        <v>14</v>
      </c>
      <c r="U30" s="33" t="s">
        <v>14</v>
      </c>
      <c r="V30" s="15" t="s">
        <v>14</v>
      </c>
      <c r="W30" s="15" t="s">
        <v>14</v>
      </c>
      <c r="X30" s="33" t="s">
        <v>14</v>
      </c>
      <c r="Y30" s="33" t="s">
        <v>14</v>
      </c>
      <c r="Z30" s="14" t="s">
        <v>14</v>
      </c>
      <c r="AA30" s="14" t="s">
        <v>14</v>
      </c>
      <c r="AB30" s="33" t="s">
        <v>14</v>
      </c>
      <c r="AC30" s="33" t="s">
        <v>14</v>
      </c>
      <c r="AD30" s="14" t="s">
        <v>14</v>
      </c>
      <c r="AE30" s="14" t="s">
        <v>14</v>
      </c>
      <c r="AF30" s="33" t="s">
        <v>14</v>
      </c>
      <c r="AG30" s="33" t="s">
        <v>14</v>
      </c>
      <c r="AH30" s="14" t="s">
        <v>14</v>
      </c>
      <c r="AI30" s="14" t="s">
        <v>14</v>
      </c>
      <c r="AJ30" s="14" t="s">
        <v>14</v>
      </c>
      <c r="AK30" s="14" t="s">
        <v>14</v>
      </c>
      <c r="AL30" s="33" t="s">
        <v>14</v>
      </c>
      <c r="AM30" s="33" t="s">
        <v>14</v>
      </c>
      <c r="AN30" s="33" t="s">
        <v>14</v>
      </c>
      <c r="AO30" s="14" t="s">
        <v>14</v>
      </c>
      <c r="AP30" s="14" t="s">
        <v>14</v>
      </c>
      <c r="AQ30" s="14" t="s">
        <v>14</v>
      </c>
      <c r="AR30" s="14" t="s">
        <v>14</v>
      </c>
      <c r="AS30" s="33" t="s">
        <v>14</v>
      </c>
      <c r="AT30" s="33" t="s">
        <v>14</v>
      </c>
      <c r="AU30" s="33" t="s">
        <v>14</v>
      </c>
      <c r="AV30" s="39" t="s">
        <v>14</v>
      </c>
      <c r="AW30" s="39" t="s">
        <v>14</v>
      </c>
      <c r="AX30" s="39" t="s">
        <v>14</v>
      </c>
      <c r="AY30" s="39" t="s">
        <v>14</v>
      </c>
      <c r="AZ30" s="39" t="s">
        <v>14</v>
      </c>
      <c r="BA30" s="39" t="s">
        <v>14</v>
      </c>
      <c r="BB30" s="14" t="s">
        <v>14</v>
      </c>
      <c r="BC30" s="22" t="s">
        <v>12</v>
      </c>
      <c r="BD30" s="25" t="s">
        <v>192</v>
      </c>
      <c r="BE30" s="26">
        <f t="shared" si="43"/>
        <v>12414.3847967818</v>
      </c>
      <c r="BF30" s="26">
        <f t="shared" si="44"/>
        <v>5692.0875558867365</v>
      </c>
      <c r="BG30" s="28">
        <f t="shared" si="18"/>
        <v>0.01682878068129409</v>
      </c>
      <c r="BH30" s="28">
        <f t="shared" si="19"/>
        <v>0.008417169194506883</v>
      </c>
      <c r="BI30" s="23" t="s">
        <v>193</v>
      </c>
      <c r="BJ30" s="26">
        <f>B28+B29+B30</f>
        <v>38410</v>
      </c>
      <c r="BK30" s="26">
        <f>C28+C29+C30</f>
        <v>21609</v>
      </c>
      <c r="BL30" s="26">
        <f>H28*BJ30</f>
        <v>16852.583954101676</v>
      </c>
      <c r="BM30" s="26">
        <f>I28*BK30</f>
        <v>7616.475341005914</v>
      </c>
      <c r="BN30" s="26">
        <f t="shared" si="45"/>
        <v>-4438.199157319876</v>
      </c>
      <c r="BO30" s="26">
        <f t="shared" si="46"/>
        <v>-1924.3877851191774</v>
      </c>
      <c r="BP30" s="14" t="s">
        <v>14</v>
      </c>
      <c r="BQ30" s="14" t="s">
        <v>14</v>
      </c>
      <c r="BR30" s="14" t="s">
        <v>14</v>
      </c>
      <c r="BS30" s="33" t="s">
        <v>14</v>
      </c>
      <c r="BT30" s="33" t="s">
        <v>14</v>
      </c>
      <c r="BU30" s="15" t="s">
        <v>14</v>
      </c>
      <c r="BV30" s="15" t="s">
        <v>14</v>
      </c>
      <c r="BW30" s="33" t="s">
        <v>14</v>
      </c>
      <c r="BX30" s="33" t="s">
        <v>14</v>
      </c>
      <c r="BY30" s="14" t="s">
        <v>14</v>
      </c>
      <c r="BZ30" s="14" t="s">
        <v>14</v>
      </c>
      <c r="CA30" s="33" t="s">
        <v>14</v>
      </c>
      <c r="CB30" s="33" t="s">
        <v>14</v>
      </c>
      <c r="CC30" s="14" t="s">
        <v>14</v>
      </c>
      <c r="CD30" s="14" t="s">
        <v>14</v>
      </c>
      <c r="CE30" s="33" t="s">
        <v>14</v>
      </c>
      <c r="CF30" s="33" t="s">
        <v>14</v>
      </c>
      <c r="CG30" s="33" t="s">
        <v>14</v>
      </c>
      <c r="CH30" s="14" t="s">
        <v>14</v>
      </c>
      <c r="CI30" s="14" t="s">
        <v>14</v>
      </c>
      <c r="CJ30" s="14" t="s">
        <v>14</v>
      </c>
      <c r="CK30" s="33" t="s">
        <v>14</v>
      </c>
      <c r="CL30" s="33" t="s">
        <v>14</v>
      </c>
      <c r="CM30" s="33" t="s">
        <v>14</v>
      </c>
      <c r="CN30" s="14" t="s">
        <v>14</v>
      </c>
      <c r="CO30" s="14" t="s">
        <v>14</v>
      </c>
      <c r="CP30" s="14" t="s">
        <v>14</v>
      </c>
      <c r="CQ30" s="14" t="s">
        <v>14</v>
      </c>
      <c r="CR30" s="33" t="s">
        <v>14</v>
      </c>
      <c r="CS30" s="33" t="s">
        <v>14</v>
      </c>
      <c r="CT30" s="33" t="s">
        <v>14</v>
      </c>
      <c r="CU30" s="37" t="s">
        <v>14</v>
      </c>
      <c r="CV30" s="37" t="s">
        <v>14</v>
      </c>
      <c r="CW30" s="37" t="s">
        <v>14</v>
      </c>
      <c r="CX30" s="39" t="s">
        <v>14</v>
      </c>
      <c r="CY30" s="39" t="s">
        <v>14</v>
      </c>
      <c r="CZ30" s="39" t="s">
        <v>14</v>
      </c>
      <c r="DA30" s="14" t="s">
        <v>14</v>
      </c>
    </row>
    <row r="31" spans="1:105" ht="12">
      <c r="A31" s="23"/>
      <c r="B31" s="15" t="s">
        <v>1</v>
      </c>
      <c r="C31" s="15" t="s">
        <v>1</v>
      </c>
      <c r="D31" s="14" t="s">
        <v>1</v>
      </c>
      <c r="E31" s="14" t="s">
        <v>1</v>
      </c>
      <c r="F31" s="14" t="s">
        <v>1</v>
      </c>
      <c r="G31" s="14" t="s">
        <v>1</v>
      </c>
      <c r="H31" s="51" t="s">
        <v>1</v>
      </c>
      <c r="I31" s="51" t="s">
        <v>1</v>
      </c>
      <c r="J31" s="14" t="s">
        <v>1</v>
      </c>
      <c r="K31" s="14" t="s">
        <v>1</v>
      </c>
      <c r="L31" s="14" t="s">
        <v>1</v>
      </c>
      <c r="M31" s="14" t="s">
        <v>1</v>
      </c>
      <c r="N31" s="14" t="s">
        <v>1</v>
      </c>
      <c r="O31" s="14" t="s">
        <v>1</v>
      </c>
      <c r="P31" s="14" t="s">
        <v>1</v>
      </c>
      <c r="Q31" s="14" t="s">
        <v>1</v>
      </c>
      <c r="R31" s="14" t="s">
        <v>1</v>
      </c>
      <c r="S31" s="14" t="s">
        <v>1</v>
      </c>
      <c r="T31" s="14" t="s">
        <v>1</v>
      </c>
      <c r="U31" s="14" t="s">
        <v>1</v>
      </c>
      <c r="V31" s="14" t="s">
        <v>1</v>
      </c>
      <c r="W31" s="14" t="s">
        <v>1</v>
      </c>
      <c r="X31" s="14" t="s">
        <v>1</v>
      </c>
      <c r="Y31" s="14" t="s">
        <v>1</v>
      </c>
      <c r="Z31" s="14" t="s">
        <v>1</v>
      </c>
      <c r="AA31" s="14" t="s">
        <v>1</v>
      </c>
      <c r="AB31" s="14" t="s">
        <v>1</v>
      </c>
      <c r="AC31" s="14" t="s">
        <v>1</v>
      </c>
      <c r="AD31" s="14" t="s">
        <v>1</v>
      </c>
      <c r="AE31" s="14" t="s">
        <v>1</v>
      </c>
      <c r="AF31" s="14" t="s">
        <v>1</v>
      </c>
      <c r="AG31" s="14" t="s">
        <v>1</v>
      </c>
      <c r="AH31" s="14" t="s">
        <v>1</v>
      </c>
      <c r="AI31" s="14" t="s">
        <v>1</v>
      </c>
      <c r="AJ31" s="14" t="s">
        <v>1</v>
      </c>
      <c r="AK31" s="14" t="s">
        <v>1</v>
      </c>
      <c r="AL31" s="14" t="s">
        <v>1</v>
      </c>
      <c r="AM31" s="14" t="s">
        <v>1</v>
      </c>
      <c r="AN31" s="14" t="s">
        <v>1</v>
      </c>
      <c r="AO31" s="14" t="s">
        <v>1</v>
      </c>
      <c r="AP31" s="14" t="s">
        <v>1</v>
      </c>
      <c r="AQ31" s="14" t="s">
        <v>1</v>
      </c>
      <c r="AR31" s="14" t="s">
        <v>1</v>
      </c>
      <c r="AS31" s="14" t="s">
        <v>1</v>
      </c>
      <c r="AT31" s="14" t="s">
        <v>1</v>
      </c>
      <c r="AU31" s="14" t="s">
        <v>1</v>
      </c>
      <c r="AV31" s="14" t="s">
        <v>1</v>
      </c>
      <c r="AW31" s="14" t="s">
        <v>1</v>
      </c>
      <c r="AX31" s="14" t="s">
        <v>1</v>
      </c>
      <c r="AY31" s="14" t="s">
        <v>1</v>
      </c>
      <c r="AZ31" s="14" t="s">
        <v>1</v>
      </c>
      <c r="BA31" s="14" t="s">
        <v>1</v>
      </c>
      <c r="BB31" s="14" t="s">
        <v>1</v>
      </c>
      <c r="BC31" s="22" t="s">
        <v>12</v>
      </c>
      <c r="BD31" s="14" t="s">
        <v>1</v>
      </c>
      <c r="BE31" s="33" t="s">
        <v>1</v>
      </c>
      <c r="BF31" s="33" t="s">
        <v>1</v>
      </c>
      <c r="BG31" s="14" t="s">
        <v>1</v>
      </c>
      <c r="BH31" s="14" t="s">
        <v>1</v>
      </c>
      <c r="BI31" s="14" t="s">
        <v>1</v>
      </c>
      <c r="BJ31" s="33" t="s">
        <v>1</v>
      </c>
      <c r="BK31" s="33" t="s">
        <v>1</v>
      </c>
      <c r="BL31" s="33" t="s">
        <v>1</v>
      </c>
      <c r="BM31" s="33" t="s">
        <v>1</v>
      </c>
      <c r="BN31" s="33" t="s">
        <v>1</v>
      </c>
      <c r="BO31" s="33" t="s">
        <v>1</v>
      </c>
      <c r="BP31" s="14" t="s">
        <v>1</v>
      </c>
      <c r="BQ31" s="14" t="s">
        <v>1</v>
      </c>
      <c r="BR31" s="14" t="s">
        <v>1</v>
      </c>
      <c r="BS31" s="33" t="s">
        <v>1</v>
      </c>
      <c r="BT31" s="33" t="s">
        <v>1</v>
      </c>
      <c r="BU31" s="14" t="s">
        <v>1</v>
      </c>
      <c r="BV31" s="14" t="s">
        <v>1</v>
      </c>
      <c r="BW31" s="33" t="s">
        <v>1</v>
      </c>
      <c r="BX31" s="33" t="s">
        <v>1</v>
      </c>
      <c r="BY31" s="14" t="s">
        <v>1</v>
      </c>
      <c r="BZ31" s="14" t="s">
        <v>1</v>
      </c>
      <c r="CA31" s="33" t="s">
        <v>1</v>
      </c>
      <c r="CB31" s="33" t="s">
        <v>1</v>
      </c>
      <c r="CC31" s="14" t="s">
        <v>1</v>
      </c>
      <c r="CD31" s="14" t="s">
        <v>1</v>
      </c>
      <c r="CE31" s="33" t="s">
        <v>1</v>
      </c>
      <c r="CF31" s="33" t="s">
        <v>1</v>
      </c>
      <c r="CG31" s="33" t="s">
        <v>1</v>
      </c>
      <c r="CH31" s="14" t="s">
        <v>1</v>
      </c>
      <c r="CI31" s="14" t="s">
        <v>1</v>
      </c>
      <c r="CJ31" s="14" t="s">
        <v>1</v>
      </c>
      <c r="CK31" s="33" t="s">
        <v>1</v>
      </c>
      <c r="CL31" s="33" t="s">
        <v>1</v>
      </c>
      <c r="CM31" s="33" t="s">
        <v>1</v>
      </c>
      <c r="CN31" s="14" t="s">
        <v>1</v>
      </c>
      <c r="CO31" s="14" t="s">
        <v>1</v>
      </c>
      <c r="CP31" s="14" t="s">
        <v>1</v>
      </c>
      <c r="CQ31" s="14" t="s">
        <v>1</v>
      </c>
      <c r="CR31" s="33" t="s">
        <v>1</v>
      </c>
      <c r="CS31" s="33" t="s">
        <v>1</v>
      </c>
      <c r="CT31" s="33" t="s">
        <v>1</v>
      </c>
      <c r="CU31" s="37" t="s">
        <v>1</v>
      </c>
      <c r="CV31" s="37" t="s">
        <v>1</v>
      </c>
      <c r="CW31" s="37" t="s">
        <v>1</v>
      </c>
      <c r="CX31" s="39" t="s">
        <v>1</v>
      </c>
      <c r="CY31" s="39" t="s">
        <v>1</v>
      </c>
      <c r="CZ31" s="39" t="s">
        <v>1</v>
      </c>
      <c r="DA31" s="14" t="s">
        <v>1</v>
      </c>
    </row>
    <row r="32" spans="1:104" ht="12">
      <c r="A32" s="23" t="s">
        <v>140</v>
      </c>
      <c r="B32" s="10">
        <f>SUM(B12:B30)</f>
        <v>684244</v>
      </c>
      <c r="C32" s="10">
        <f>SUM(C12:C30)</f>
        <v>631856</v>
      </c>
      <c r="D32" s="28">
        <f>SUM(D12:D30)</f>
        <v>1.0000000000000002</v>
      </c>
      <c r="E32" s="28">
        <f>SUM(E12:E30)</f>
        <v>0.9999999999999999</v>
      </c>
      <c r="J32" s="23" t="s">
        <v>46</v>
      </c>
      <c r="K32" s="26">
        <f aca="true" t="shared" si="47" ref="K32:P32">SUM(K15:K30)</f>
        <v>625872</v>
      </c>
      <c r="L32" s="26">
        <f t="shared" si="47"/>
        <v>579332</v>
      </c>
      <c r="M32" s="26">
        <f t="shared" si="47"/>
        <v>591456.0820563186</v>
      </c>
      <c r="N32" s="26">
        <f t="shared" si="47"/>
        <v>548259.9171951292</v>
      </c>
      <c r="O32" s="26">
        <f t="shared" si="47"/>
        <v>-159.08205631871715</v>
      </c>
      <c r="P32" s="26">
        <f t="shared" si="47"/>
        <v>-11911.917195129163</v>
      </c>
      <c r="T32" s="26">
        <f>SUM(T13:T28)</f>
        <v>645470.3207119631</v>
      </c>
      <c r="U32" s="26">
        <f>SUM(U13:U28)</f>
        <v>594189.2759261426</v>
      </c>
      <c r="X32" s="26">
        <f>SUM(X13:X28)</f>
        <v>-2640.2184591912605</v>
      </c>
      <c r="Y32" s="26">
        <f>SUM(Y13:Y28)</f>
        <v>-16793.763732543808</v>
      </c>
      <c r="AB32" s="26">
        <f aca="true" t="shared" si="48" ref="AB32:AG32">SUM(AB13:AB28)</f>
        <v>-2640.2184591912605</v>
      </c>
      <c r="AC32" s="26">
        <f t="shared" si="48"/>
        <v>-16793.763732543808</v>
      </c>
      <c r="AD32" s="10">
        <f t="shared" si="48"/>
        <v>0</v>
      </c>
      <c r="AE32" s="10">
        <f t="shared" si="48"/>
        <v>0</v>
      </c>
      <c r="AF32" s="26">
        <f t="shared" si="48"/>
        <v>-2640.2184591912605</v>
      </c>
      <c r="AG32" s="26">
        <f t="shared" si="48"/>
        <v>-16793.763732543808</v>
      </c>
      <c r="AJ32" s="25" t="s">
        <v>194</v>
      </c>
      <c r="AL32" s="26">
        <f aca="true" t="shared" si="49" ref="AL32:AQ32">SUM(AL11:AL28)</f>
        <v>1357275.798378513</v>
      </c>
      <c r="AM32" s="26">
        <f t="shared" si="49"/>
        <v>708139.0830321253</v>
      </c>
      <c r="AN32" s="26">
        <f t="shared" si="49"/>
        <v>649136.7153463874</v>
      </c>
      <c r="AO32" s="27">
        <f t="shared" si="49"/>
        <v>0.9999999999999997</v>
      </c>
      <c r="AP32" s="27">
        <f t="shared" si="49"/>
        <v>1.0000000000000002</v>
      </c>
      <c r="AQ32" s="27">
        <f t="shared" si="49"/>
        <v>1</v>
      </c>
      <c r="AS32" s="26">
        <f aca="true" t="shared" si="50" ref="AS32:BA32">SUM(AS11:AS28)</f>
        <v>1413934.9709643056</v>
      </c>
      <c r="AT32" s="26">
        <f t="shared" si="50"/>
        <v>737687.7167685073</v>
      </c>
      <c r="AU32" s="26">
        <f t="shared" si="50"/>
        <v>676247.254195798</v>
      </c>
      <c r="AV32" s="28">
        <f t="shared" si="50"/>
        <v>0.9999999999999998</v>
      </c>
      <c r="AW32" s="28">
        <f t="shared" si="50"/>
        <v>0.9999999999999999</v>
      </c>
      <c r="AX32" s="28">
        <f t="shared" si="50"/>
        <v>0.9999999999999999</v>
      </c>
      <c r="AY32" s="28">
        <f t="shared" si="50"/>
        <v>1</v>
      </c>
      <c r="AZ32" s="28">
        <f t="shared" si="50"/>
        <v>1.0000000000000002</v>
      </c>
      <c r="BA32" s="28">
        <f t="shared" si="50"/>
        <v>0.9999999999999999</v>
      </c>
      <c r="BC32" s="22" t="s">
        <v>12</v>
      </c>
      <c r="BD32" s="20" t="s">
        <v>140</v>
      </c>
      <c r="BE32" s="26">
        <f>SUM(BE12:BE30)</f>
        <v>737687.7167685073</v>
      </c>
      <c r="BF32" s="26">
        <f>SUM(BF12:BF30)</f>
        <v>676247.254195798</v>
      </c>
      <c r="BG32" s="28">
        <f>SUM(BG12:BG30)</f>
        <v>0.9999999999999999</v>
      </c>
      <c r="BH32" s="28">
        <f>SUM(BH12:BH30)</f>
        <v>0.9999999999999999</v>
      </c>
      <c r="BI32" s="23" t="s">
        <v>46</v>
      </c>
      <c r="BJ32" s="26">
        <f aca="true" t="shared" si="51" ref="BJ32:BO32">SUM(BJ15:BJ30)</f>
        <v>684244</v>
      </c>
      <c r="BK32" s="26">
        <f t="shared" si="51"/>
        <v>631856</v>
      </c>
      <c r="BL32" s="26">
        <f t="shared" si="51"/>
        <v>645470.3207119631</v>
      </c>
      <c r="BM32" s="26">
        <f t="shared" si="51"/>
        <v>594189.2759261426</v>
      </c>
      <c r="BN32" s="26">
        <f t="shared" si="51"/>
        <v>-2640.2184591912537</v>
      </c>
      <c r="BO32" s="26">
        <f t="shared" si="51"/>
        <v>-16793.76373254381</v>
      </c>
      <c r="BS32" s="26">
        <f>SUM(BS13:BS28)</f>
        <v>691561.0177045617</v>
      </c>
      <c r="BT32" s="26">
        <f>SUM(BT13:BT28)</f>
        <v>629611.8314422284</v>
      </c>
      <c r="BW32" s="26">
        <f>SUM(BW13:BW28)</f>
        <v>-7497.277933144876</v>
      </c>
      <c r="BX32" s="26">
        <f>SUM(BX13:BX28)</f>
        <v>-21950.498570467753</v>
      </c>
      <c r="CA32" s="26">
        <f aca="true" t="shared" si="52" ref="CA32:CF32">SUM(CA13:CA28)</f>
        <v>-7497.277933144876</v>
      </c>
      <c r="CB32" s="26">
        <f t="shared" si="52"/>
        <v>-21950.498570467753</v>
      </c>
      <c r="CC32" s="10">
        <f t="shared" si="52"/>
        <v>0</v>
      </c>
      <c r="CD32" s="10">
        <f t="shared" si="52"/>
        <v>0</v>
      </c>
      <c r="CE32" s="26">
        <f t="shared" si="52"/>
        <v>-7497.277933144876</v>
      </c>
      <c r="CF32" s="26">
        <f t="shared" si="52"/>
        <v>-21950.498570467753</v>
      </c>
      <c r="CG32" s="26"/>
      <c r="CI32" s="25" t="s">
        <v>194</v>
      </c>
      <c r="CK32" s="26">
        <f aca="true" t="shared" si="53" ref="CK32:CP32">SUM(CK11:CK28)</f>
        <v>1444366.833791409</v>
      </c>
      <c r="CL32" s="26">
        <f t="shared" si="53"/>
        <v>758294.0209153675</v>
      </c>
      <c r="CM32" s="26">
        <f t="shared" si="53"/>
        <v>686072.8128760416</v>
      </c>
      <c r="CN32" s="27">
        <f t="shared" si="53"/>
        <v>1.0000000000000004</v>
      </c>
      <c r="CO32" s="27">
        <f t="shared" si="53"/>
        <v>1</v>
      </c>
      <c r="CP32" s="27">
        <f t="shared" si="53"/>
        <v>1</v>
      </c>
      <c r="CR32" s="26">
        <f aca="true" t="shared" si="54" ref="CR32:CZ32">SUM(CR11:CR28)</f>
        <v>1493599.5902282987</v>
      </c>
      <c r="CS32" s="26">
        <f t="shared" si="54"/>
        <v>782919.7553705729</v>
      </c>
      <c r="CT32" s="26">
        <f t="shared" si="54"/>
        <v>710679.8348577255</v>
      </c>
      <c r="CU32" s="27">
        <f t="shared" si="54"/>
        <v>0.9999999999999999</v>
      </c>
      <c r="CV32" s="27">
        <f t="shared" si="54"/>
        <v>1</v>
      </c>
      <c r="CW32" s="27">
        <f t="shared" si="54"/>
        <v>1</v>
      </c>
      <c r="CX32" s="28">
        <f t="shared" si="54"/>
        <v>1</v>
      </c>
      <c r="CY32" s="28">
        <f t="shared" si="54"/>
        <v>0.9999999999999999</v>
      </c>
      <c r="CZ32" s="28">
        <f t="shared" si="54"/>
        <v>0.9999999999999999</v>
      </c>
    </row>
    <row r="33" spans="1:105" ht="12">
      <c r="A33" s="23"/>
      <c r="B33" s="15" t="s">
        <v>1</v>
      </c>
      <c r="C33" s="15" t="s">
        <v>1</v>
      </c>
      <c r="D33" s="14" t="s">
        <v>1</v>
      </c>
      <c r="E33" s="14" t="s">
        <v>1</v>
      </c>
      <c r="F33" s="14" t="s">
        <v>1</v>
      </c>
      <c r="G33" s="14" t="s">
        <v>1</v>
      </c>
      <c r="H33" s="51" t="s">
        <v>1</v>
      </c>
      <c r="I33" s="51" t="s">
        <v>1</v>
      </c>
      <c r="J33" s="14" t="s">
        <v>1</v>
      </c>
      <c r="K33" s="14" t="s">
        <v>1</v>
      </c>
      <c r="L33" s="14" t="s">
        <v>1</v>
      </c>
      <c r="M33" s="14" t="s">
        <v>1</v>
      </c>
      <c r="N33" s="14" t="s">
        <v>1</v>
      </c>
      <c r="O33" s="14" t="s">
        <v>1</v>
      </c>
      <c r="P33" s="14" t="s">
        <v>1</v>
      </c>
      <c r="Q33" s="14" t="s">
        <v>1</v>
      </c>
      <c r="R33" s="14" t="s">
        <v>1</v>
      </c>
      <c r="S33" s="14" t="s">
        <v>1</v>
      </c>
      <c r="T33" s="14" t="s">
        <v>1</v>
      </c>
      <c r="U33" s="14" t="s">
        <v>1</v>
      </c>
      <c r="V33" s="14" t="s">
        <v>1</v>
      </c>
      <c r="W33" s="14" t="s">
        <v>1</v>
      </c>
      <c r="X33" s="14" t="s">
        <v>1</v>
      </c>
      <c r="Y33" s="14" t="s">
        <v>1</v>
      </c>
      <c r="Z33" s="14" t="s">
        <v>1</v>
      </c>
      <c r="AA33" s="14" t="s">
        <v>1</v>
      </c>
      <c r="AB33" s="14" t="s">
        <v>1</v>
      </c>
      <c r="AC33" s="14" t="s">
        <v>1</v>
      </c>
      <c r="AD33" s="14" t="s">
        <v>1</v>
      </c>
      <c r="AE33" s="14" t="s">
        <v>1</v>
      </c>
      <c r="AF33" s="14" t="s">
        <v>1</v>
      </c>
      <c r="AG33" s="14" t="s">
        <v>1</v>
      </c>
      <c r="AH33" s="14" t="s">
        <v>1</v>
      </c>
      <c r="AI33" s="14" t="s">
        <v>1</v>
      </c>
      <c r="AJ33" s="14" t="s">
        <v>1</v>
      </c>
      <c r="AK33" s="14" t="s">
        <v>1</v>
      </c>
      <c r="AL33" s="14" t="s">
        <v>1</v>
      </c>
      <c r="AM33" s="14" t="s">
        <v>1</v>
      </c>
      <c r="AN33" s="14" t="s">
        <v>1</v>
      </c>
      <c r="AO33" s="14" t="s">
        <v>1</v>
      </c>
      <c r="AP33" s="14" t="s">
        <v>1</v>
      </c>
      <c r="AQ33" s="14" t="s">
        <v>1</v>
      </c>
      <c r="AR33" s="14" t="s">
        <v>1</v>
      </c>
      <c r="AS33" s="14" t="s">
        <v>1</v>
      </c>
      <c r="AT33" s="14" t="s">
        <v>1</v>
      </c>
      <c r="AU33" s="14" t="s">
        <v>1</v>
      </c>
      <c r="AV33" s="14" t="s">
        <v>1</v>
      </c>
      <c r="AW33" s="14" t="s">
        <v>1</v>
      </c>
      <c r="AX33" s="14" t="s">
        <v>1</v>
      </c>
      <c r="AY33" s="14" t="s">
        <v>1</v>
      </c>
      <c r="AZ33" s="14" t="s">
        <v>1</v>
      </c>
      <c r="BA33" s="14" t="s">
        <v>1</v>
      </c>
      <c r="BB33" s="14" t="s">
        <v>1</v>
      </c>
      <c r="BD33" s="14" t="s">
        <v>1</v>
      </c>
      <c r="BE33" s="14" t="s">
        <v>1</v>
      </c>
      <c r="BF33" s="14" t="s">
        <v>1</v>
      </c>
      <c r="BG33" s="14" t="s">
        <v>1</v>
      </c>
      <c r="BH33" s="14" t="s">
        <v>1</v>
      </c>
      <c r="BI33" s="14" t="s">
        <v>1</v>
      </c>
      <c r="BJ33" s="14" t="s">
        <v>1</v>
      </c>
      <c r="BK33" s="14" t="s">
        <v>1</v>
      </c>
      <c r="BL33" s="14" t="s">
        <v>1</v>
      </c>
      <c r="BM33" s="14" t="s">
        <v>1</v>
      </c>
      <c r="BN33" s="14" t="s">
        <v>1</v>
      </c>
      <c r="BO33" s="14" t="s">
        <v>1</v>
      </c>
      <c r="BP33" s="14" t="s">
        <v>1</v>
      </c>
      <c r="BQ33" s="14" t="s">
        <v>1</v>
      </c>
      <c r="BR33" s="14" t="s">
        <v>1</v>
      </c>
      <c r="BS33" s="14" t="s">
        <v>1</v>
      </c>
      <c r="BT33" s="14" t="s">
        <v>1</v>
      </c>
      <c r="BU33" s="14" t="s">
        <v>1</v>
      </c>
      <c r="BV33" s="14" t="s">
        <v>1</v>
      </c>
      <c r="BW33" s="14" t="s">
        <v>1</v>
      </c>
      <c r="BX33" s="14" t="s">
        <v>1</v>
      </c>
      <c r="BY33" s="14" t="s">
        <v>1</v>
      </c>
      <c r="BZ33" s="14" t="s">
        <v>1</v>
      </c>
      <c r="CA33" s="14" t="s">
        <v>1</v>
      </c>
      <c r="CB33" s="14" t="s">
        <v>1</v>
      </c>
      <c r="CC33" s="14" t="s">
        <v>1</v>
      </c>
      <c r="CD33" s="14" t="s">
        <v>1</v>
      </c>
      <c r="CE33" s="14" t="s">
        <v>1</v>
      </c>
      <c r="CF33" s="14" t="s">
        <v>1</v>
      </c>
      <c r="CG33" s="14" t="s">
        <v>1</v>
      </c>
      <c r="CH33" s="14" t="s">
        <v>1</v>
      </c>
      <c r="CI33" s="14" t="s">
        <v>1</v>
      </c>
      <c r="CJ33" s="14" t="s">
        <v>1</v>
      </c>
      <c r="CK33" s="14" t="s">
        <v>1</v>
      </c>
      <c r="CL33" s="14" t="s">
        <v>1</v>
      </c>
      <c r="CM33" s="14" t="s">
        <v>1</v>
      </c>
      <c r="CN33" s="14" t="s">
        <v>1</v>
      </c>
      <c r="CO33" s="14" t="s">
        <v>1</v>
      </c>
      <c r="CP33" s="14" t="s">
        <v>1</v>
      </c>
      <c r="CQ33" s="14" t="s">
        <v>1</v>
      </c>
      <c r="CR33" s="14" t="s">
        <v>1</v>
      </c>
      <c r="CS33" s="14" t="s">
        <v>1</v>
      </c>
      <c r="CT33" s="14" t="s">
        <v>1</v>
      </c>
      <c r="CU33" s="14" t="s">
        <v>1</v>
      </c>
      <c r="CV33" s="14" t="s">
        <v>1</v>
      </c>
      <c r="CW33" s="14" t="s">
        <v>1</v>
      </c>
      <c r="CX33" s="14" t="s">
        <v>1</v>
      </c>
      <c r="CY33" s="14" t="s">
        <v>1</v>
      </c>
      <c r="CZ33" s="14" t="s">
        <v>1</v>
      </c>
      <c r="DA33" s="14" t="s">
        <v>1</v>
      </c>
    </row>
    <row r="37" spans="1:3" ht="12">
      <c r="A37" s="44"/>
      <c r="B37" s="18"/>
      <c r="C37" s="18"/>
    </row>
    <row r="38" spans="1:3" ht="12">
      <c r="A38" s="44"/>
      <c r="B38" s="18"/>
      <c r="C38" s="18"/>
    </row>
    <row r="39" spans="1:3" ht="12">
      <c r="A39" s="44"/>
      <c r="B39" s="18"/>
      <c r="C39" s="18"/>
    </row>
    <row r="40" spans="1:3" ht="12">
      <c r="A40" s="44"/>
      <c r="B40" s="18"/>
      <c r="C40" s="18"/>
    </row>
    <row r="41" spans="1:3" ht="12">
      <c r="A41" s="44"/>
      <c r="B41" s="18"/>
      <c r="C41" s="18"/>
    </row>
    <row r="42" spans="1:3" ht="12">
      <c r="A42" s="44"/>
      <c r="B42" s="18"/>
      <c r="C42" s="18"/>
    </row>
    <row r="43" spans="1:3" ht="12">
      <c r="A43" s="44"/>
      <c r="B43" s="18"/>
      <c r="C43" s="18"/>
    </row>
    <row r="44" spans="1:3" ht="12">
      <c r="A44" s="44"/>
      <c r="B44" s="18"/>
      <c r="C44" s="18"/>
    </row>
    <row r="45" spans="1:3" ht="12">
      <c r="A45" s="44"/>
      <c r="B45" s="18"/>
      <c r="C45" s="18"/>
    </row>
    <row r="46" spans="1:3" ht="12">
      <c r="A46" s="44"/>
      <c r="B46" s="18"/>
      <c r="C46" s="18"/>
    </row>
    <row r="47" spans="1:3" ht="12">
      <c r="A47" s="44"/>
      <c r="B47" s="18"/>
      <c r="C47" s="18"/>
    </row>
    <row r="48" spans="1:3" ht="12">
      <c r="A48" s="44"/>
      <c r="B48" s="18"/>
      <c r="C48" s="18"/>
    </row>
    <row r="49" spans="1:3" ht="12">
      <c r="A49" s="44"/>
      <c r="B49" s="18"/>
      <c r="C49" s="18"/>
    </row>
    <row r="50" spans="1:3" ht="12">
      <c r="A50" s="44"/>
      <c r="B50" s="18"/>
      <c r="C50" s="18"/>
    </row>
    <row r="51" spans="1:3" ht="12">
      <c r="A51" s="44"/>
      <c r="B51" s="18"/>
      <c r="C51" s="18"/>
    </row>
    <row r="52" spans="1:3" ht="12">
      <c r="A52" s="44"/>
      <c r="B52" s="18"/>
      <c r="C52" s="18"/>
    </row>
    <row r="53" spans="1:3" ht="12">
      <c r="A53" s="44"/>
      <c r="B53" s="18"/>
      <c r="C53" s="18"/>
    </row>
    <row r="54" spans="1:3" ht="12">
      <c r="A54" s="44"/>
      <c r="B54" s="18"/>
      <c r="C54" s="18"/>
    </row>
    <row r="55" spans="1:3" ht="12">
      <c r="A55" s="44"/>
      <c r="B55" s="18"/>
      <c r="C55" s="18"/>
    </row>
    <row r="56" spans="1:3" ht="12">
      <c r="A56" s="44"/>
      <c r="B56" s="18"/>
      <c r="C56" s="18"/>
    </row>
    <row r="57" spans="1:3" ht="12">
      <c r="A57" s="44"/>
      <c r="B57" s="18"/>
      <c r="C57" s="18"/>
    </row>
    <row r="58" spans="1:3" ht="12">
      <c r="A58" s="44"/>
      <c r="B58" s="18"/>
      <c r="C58" s="18"/>
    </row>
    <row r="59" spans="1:3" ht="12">
      <c r="A59" s="44"/>
      <c r="B59" s="18"/>
      <c r="C59" s="18"/>
    </row>
    <row r="60" spans="1:3" ht="12">
      <c r="A60" s="44"/>
      <c r="B60" s="18"/>
      <c r="C60" s="18"/>
    </row>
    <row r="61" spans="1:3" ht="12">
      <c r="A61" s="44"/>
      <c r="B61" s="18"/>
      <c r="C61" s="18"/>
    </row>
    <row r="62" spans="1:3" ht="12">
      <c r="A62" s="44"/>
      <c r="B62" s="18"/>
      <c r="C62" s="18"/>
    </row>
    <row r="63" spans="1:3" ht="12">
      <c r="A63" s="44"/>
      <c r="B63" s="18"/>
      <c r="C63" s="18"/>
    </row>
    <row r="64" spans="1:3" ht="12">
      <c r="A64" s="44"/>
      <c r="B64" s="18"/>
      <c r="C64" s="18"/>
    </row>
    <row r="65" spans="1:3" ht="12">
      <c r="A65" s="44"/>
      <c r="B65" s="18"/>
      <c r="C65" s="18"/>
    </row>
    <row r="66" spans="1:3" ht="12">
      <c r="A66" s="44"/>
      <c r="B66" s="18"/>
      <c r="C66" s="18"/>
    </row>
    <row r="67" spans="1:3" ht="12">
      <c r="A67" s="44"/>
      <c r="B67" s="18"/>
      <c r="C67" s="18"/>
    </row>
    <row r="68" spans="1:3" ht="12">
      <c r="A68" s="44"/>
      <c r="B68" s="18"/>
      <c r="C68" s="18"/>
    </row>
    <row r="69" spans="1:3" ht="12">
      <c r="A69" s="44"/>
      <c r="B69" s="18"/>
      <c r="C69" s="18"/>
    </row>
    <row r="70" spans="1:3" ht="12">
      <c r="A70" s="44"/>
      <c r="B70" s="18"/>
      <c r="C70" s="18"/>
    </row>
    <row r="71" spans="1:3" ht="12">
      <c r="A71" s="44"/>
      <c r="B71" s="18"/>
      <c r="C71" s="18"/>
    </row>
    <row r="72" spans="1:3" ht="12">
      <c r="A72" s="44"/>
      <c r="B72" s="18"/>
      <c r="C72" s="18"/>
    </row>
    <row r="73" spans="1:3" ht="12">
      <c r="A73" s="44"/>
      <c r="B73" s="18"/>
      <c r="C73" s="18"/>
    </row>
    <row r="74" spans="1:3" ht="12">
      <c r="A74" s="44"/>
      <c r="B74" s="18"/>
      <c r="C74" s="18"/>
    </row>
    <row r="75" spans="1:3" ht="12">
      <c r="A75" s="44"/>
      <c r="B75" s="18"/>
      <c r="C75" s="18"/>
    </row>
    <row r="76" spans="1:3" ht="12">
      <c r="A76" s="44"/>
      <c r="B76" s="18"/>
      <c r="C76" s="18"/>
    </row>
    <row r="77" spans="1:3" ht="12">
      <c r="A77" s="44"/>
      <c r="B77" s="18"/>
      <c r="C77" s="18"/>
    </row>
    <row r="78" spans="1:105" ht="12">
      <c r="A78" s="44"/>
      <c r="B78" s="18"/>
      <c r="C78" s="18"/>
      <c r="D78" s="40"/>
      <c r="E78" s="40"/>
      <c r="F78" s="40"/>
      <c r="G78" s="40"/>
      <c r="H78" s="56"/>
      <c r="I78" s="56"/>
      <c r="J78" s="40"/>
      <c r="K78" s="40"/>
      <c r="L78" s="40"/>
      <c r="M78" s="40"/>
      <c r="N78" s="40"/>
      <c r="O78" s="40"/>
      <c r="P78" s="40"/>
      <c r="Q78" s="40"/>
      <c r="R78" s="40"/>
      <c r="S78" s="40"/>
      <c r="T78" s="40"/>
      <c r="U78" s="40"/>
      <c r="V78" s="40"/>
      <c r="W78" s="40"/>
      <c r="X78" s="40"/>
      <c r="Y78" s="40"/>
      <c r="Z78" s="40"/>
      <c r="AA78" s="40"/>
      <c r="AB78" s="40"/>
      <c r="AC78" s="40"/>
      <c r="AD78" s="40"/>
      <c r="AE78" s="40"/>
      <c r="AF78" s="40"/>
      <c r="AG78" s="40"/>
      <c r="AH78" s="40"/>
      <c r="AI78" s="40"/>
      <c r="AJ78" s="40"/>
      <c r="AK78" s="40"/>
      <c r="AL78" s="40"/>
      <c r="AM78" s="40"/>
      <c r="AN78" s="40"/>
      <c r="AO78" s="40"/>
      <c r="AP78" s="40"/>
      <c r="AQ78" s="40"/>
      <c r="AR78" s="40"/>
      <c r="AS78" s="40"/>
      <c r="AT78" s="40"/>
      <c r="AU78" s="40"/>
      <c r="AV78" s="40"/>
      <c r="AW78" s="40"/>
      <c r="AX78" s="40"/>
      <c r="AY78" s="40"/>
      <c r="AZ78" s="40"/>
      <c r="BA78" s="40"/>
      <c r="BB78" s="40"/>
      <c r="BC78" s="41"/>
      <c r="BD78" s="40"/>
      <c r="BE78" s="40"/>
      <c r="BF78" s="40"/>
      <c r="BG78" s="40"/>
      <c r="BH78" s="40"/>
      <c r="BI78" s="40"/>
      <c r="BJ78" s="40"/>
      <c r="BK78" s="40"/>
      <c r="BL78" s="40"/>
      <c r="BM78" s="40"/>
      <c r="BN78" s="40"/>
      <c r="BO78" s="40"/>
      <c r="BP78" s="40"/>
      <c r="BQ78" s="40"/>
      <c r="BR78" s="40"/>
      <c r="BS78" s="40"/>
      <c r="BT78" s="40"/>
      <c r="BU78" s="40"/>
      <c r="BV78" s="40"/>
      <c r="BW78" s="40"/>
      <c r="BX78" s="40"/>
      <c r="BY78" s="40"/>
      <c r="BZ78" s="40"/>
      <c r="CA78" s="40"/>
      <c r="CB78" s="40"/>
      <c r="CC78" s="40"/>
      <c r="CD78" s="40"/>
      <c r="CE78" s="40"/>
      <c r="CF78" s="40"/>
      <c r="CG78" s="40"/>
      <c r="CH78" s="40"/>
      <c r="CI78" s="40"/>
      <c r="CJ78" s="40"/>
      <c r="CK78" s="40"/>
      <c r="CL78" s="40"/>
      <c r="CM78" s="40"/>
      <c r="CN78" s="40"/>
      <c r="CO78" s="40"/>
      <c r="CP78" s="40"/>
      <c r="CQ78" s="40"/>
      <c r="CR78" s="40"/>
      <c r="CS78" s="40"/>
      <c r="CT78" s="40"/>
      <c r="CU78" s="40"/>
      <c r="CV78" s="40"/>
      <c r="CW78" s="40"/>
      <c r="CX78" s="40"/>
      <c r="CY78" s="40"/>
      <c r="CZ78" s="40"/>
      <c r="DA78" s="40"/>
    </row>
  </sheetData>
  <sheetProtection/>
  <mergeCells count="10">
    <mergeCell ref="CG1:CI1"/>
    <mergeCell ref="CQ1:DA1"/>
    <mergeCell ref="F1:I1"/>
    <mergeCell ref="AH1:AJ1"/>
    <mergeCell ref="AR1:BB1"/>
    <mergeCell ref="BI1:BO1"/>
    <mergeCell ref="BU1:CF1"/>
    <mergeCell ref="K1:P1"/>
    <mergeCell ref="Q1:U1"/>
    <mergeCell ref="V1:AG1"/>
  </mergeCells>
  <printOptions/>
  <pageMargins left="0.75" right="0.75" top="1" bottom="1" header="0.5" footer="0.5"/>
  <pageSetup horizontalDpi="600" verticalDpi="600" orientation="landscape"/>
  <ignoredErrors>
    <ignoredError sqref="CH29:CI29" unlocked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2:C24"/>
  <sheetViews>
    <sheetView workbookViewId="0" topLeftCell="A1">
      <selection activeCell="F13" sqref="F13"/>
    </sheetView>
  </sheetViews>
  <sheetFormatPr defaultColWidth="8.875" defaultRowHeight="12.75"/>
  <cols>
    <col min="1" max="1" width="16.125" style="0" customWidth="1"/>
    <col min="2" max="2" width="9.875" style="0" bestFit="1" customWidth="1"/>
  </cols>
  <sheetData>
    <row r="2" ht="12">
      <c r="A2" s="2" t="s">
        <v>221</v>
      </c>
    </row>
    <row r="4" spans="1:3" ht="12">
      <c r="A4" s="2" t="s">
        <v>220</v>
      </c>
      <c r="B4" s="4" t="s">
        <v>178</v>
      </c>
      <c r="C4" s="4" t="s">
        <v>177</v>
      </c>
    </row>
    <row r="5" spans="1:3" ht="15.75" customHeight="1">
      <c r="A5" s="1" t="s">
        <v>218</v>
      </c>
      <c r="B5" s="3">
        <f>COHORT!AU11</f>
        <v>49982.43450299562</v>
      </c>
      <c r="C5" s="3">
        <f>COHORT!AT11</f>
        <v>46956.01607592181</v>
      </c>
    </row>
    <row r="6" spans="1:3" ht="15.75" customHeight="1">
      <c r="A6" s="1" t="s">
        <v>201</v>
      </c>
      <c r="B6" s="3">
        <f>COHORT!AU12</f>
        <v>48869.30749920361</v>
      </c>
      <c r="C6" s="3">
        <f>COHORT!AT12</f>
        <v>47901.598439813446</v>
      </c>
    </row>
    <row r="7" spans="1:3" ht="15.75" customHeight="1">
      <c r="A7" s="1" t="s">
        <v>202</v>
      </c>
      <c r="B7" s="3">
        <f>COHORT!AU13</f>
        <v>52130.660340580485</v>
      </c>
      <c r="C7" s="3">
        <f>COHORT!AT13</f>
        <v>50314.801471407874</v>
      </c>
    </row>
    <row r="8" spans="1:3" ht="15.75" customHeight="1">
      <c r="A8" s="1" t="s">
        <v>203</v>
      </c>
      <c r="B8" s="3">
        <f>COHORT!AU14</f>
        <v>48564.576977387085</v>
      </c>
      <c r="C8" s="3">
        <f>COHORT!AT14</f>
        <v>48321.45743658322</v>
      </c>
    </row>
    <row r="9" spans="1:3" ht="15.75" customHeight="1">
      <c r="A9" s="1" t="s">
        <v>204</v>
      </c>
      <c r="B9" s="3">
        <f>COHORT!AU15</f>
        <v>45814.66736192053</v>
      </c>
      <c r="C9" s="3">
        <f>COHORT!AT15</f>
        <v>46319.324950784285</v>
      </c>
    </row>
    <row r="10" spans="1:3" ht="15.75" customHeight="1">
      <c r="A10" s="1" t="s">
        <v>205</v>
      </c>
      <c r="B10" s="3">
        <f>COHORT!AU16</f>
        <v>49244.30394330681</v>
      </c>
      <c r="C10" s="3">
        <f>COHORT!AT16</f>
        <v>54202.51920151215</v>
      </c>
    </row>
    <row r="11" spans="1:3" ht="15.75" customHeight="1">
      <c r="A11" s="1" t="s">
        <v>206</v>
      </c>
      <c r="B11" s="3">
        <f>COHORT!AU17</f>
        <v>46835.5579534372</v>
      </c>
      <c r="C11" s="3">
        <f>COHORT!AT17</f>
        <v>49989.593428162945</v>
      </c>
    </row>
    <row r="12" spans="1:3" ht="15.75" customHeight="1">
      <c r="A12" s="1" t="s">
        <v>207</v>
      </c>
      <c r="B12" s="3">
        <f>COHORT!AU18</f>
        <v>44019.15115317468</v>
      </c>
      <c r="C12" s="3">
        <f>COHORT!AT18</f>
        <v>48379.12045136459</v>
      </c>
    </row>
    <row r="13" spans="1:3" ht="15.75" customHeight="1">
      <c r="A13" s="1" t="s">
        <v>208</v>
      </c>
      <c r="B13" s="3">
        <f>COHORT!AU19</f>
        <v>42102.51485331913</v>
      </c>
      <c r="C13" s="3">
        <f>COHORT!AT19</f>
        <v>46773.6360644949</v>
      </c>
    </row>
    <row r="14" spans="1:3" ht="15.75" customHeight="1">
      <c r="A14" s="1" t="s">
        <v>209</v>
      </c>
      <c r="B14" s="3">
        <f>COHORT!AU20</f>
        <v>42400.25901871262</v>
      </c>
      <c r="C14" s="3">
        <f>COHORT!AT20</f>
        <v>46382.81080655014</v>
      </c>
    </row>
    <row r="15" spans="1:3" ht="15.75" customHeight="1">
      <c r="A15" s="1" t="s">
        <v>210</v>
      </c>
      <c r="B15" s="3">
        <f>COHORT!AU21</f>
        <v>41406.7603117611</v>
      </c>
      <c r="C15" s="3">
        <f>COHORT!AT21</f>
        <v>45745.25476699106</v>
      </c>
    </row>
    <row r="16" spans="1:3" ht="15.75" customHeight="1">
      <c r="A16" s="1" t="s">
        <v>211</v>
      </c>
      <c r="B16" s="3">
        <f>COHORT!AU22</f>
        <v>42690.82156412426</v>
      </c>
      <c r="C16" s="3">
        <f>COHORT!AT22</f>
        <v>48319.08778984636</v>
      </c>
    </row>
    <row r="17" spans="1:3" ht="15.75" customHeight="1">
      <c r="A17" s="1" t="s">
        <v>212</v>
      </c>
      <c r="B17" s="3">
        <f>COHORT!AU23</f>
        <v>39557.64355326538</v>
      </c>
      <c r="C17" s="3">
        <f>COHORT!AT23</f>
        <v>46252.832295862325</v>
      </c>
    </row>
    <row r="18" spans="1:3" ht="15.75" customHeight="1">
      <c r="A18" s="1" t="s">
        <v>213</v>
      </c>
      <c r="B18" s="3">
        <f>COHORT!AU24</f>
        <v>31732.45028580317</v>
      </c>
      <c r="C18" s="3">
        <f>COHORT!AT24</f>
        <v>38980.8558687121</v>
      </c>
    </row>
    <row r="19" spans="1:3" ht="15.75" customHeight="1">
      <c r="A19" s="1" t="s">
        <v>214</v>
      </c>
      <c r="B19" s="3">
        <f>COHORT!AU25</f>
        <v>23877.31268140799</v>
      </c>
      <c r="C19" s="3">
        <f>COHORT!AT25</f>
        <v>29448.976167315173</v>
      </c>
    </row>
    <row r="20" spans="1:3" ht="15.75" customHeight="1">
      <c r="A20" s="1" t="s">
        <v>215</v>
      </c>
      <c r="B20" s="3">
        <f>COHORT!AU26</f>
        <v>13907.292870394911</v>
      </c>
      <c r="C20" s="3">
        <f>COHORT!AT26</f>
        <v>18938.764072467467</v>
      </c>
    </row>
    <row r="21" spans="1:3" ht="15.75" customHeight="1">
      <c r="A21" s="1" t="s">
        <v>216</v>
      </c>
      <c r="B21" s="3">
        <f>COHORT!AU27</f>
        <v>7419.451769116613</v>
      </c>
      <c r="C21" s="3">
        <f>COHORT!AT27</f>
        <v>12046.682683935569</v>
      </c>
    </row>
    <row r="22" spans="1:3" ht="15.75" customHeight="1">
      <c r="A22" s="1" t="s">
        <v>217</v>
      </c>
      <c r="B22" s="3">
        <f>COHORT!AU28</f>
        <v>5692.0875558867365</v>
      </c>
      <c r="C22" s="3">
        <f>COHORT!AT28</f>
        <v>12414.3847967818</v>
      </c>
    </row>
    <row r="23" spans="1:3" ht="12">
      <c r="A23" s="1"/>
      <c r="B23" s="3"/>
      <c r="C23" s="3"/>
    </row>
    <row r="24" spans="1:3" ht="12">
      <c r="A24" s="2" t="s">
        <v>219</v>
      </c>
      <c r="B24" s="3">
        <f>SUM(B5:B22)</f>
        <v>676247.254195798</v>
      </c>
      <c r="C24" s="3">
        <f>SUM(C5:C22)</f>
        <v>737687.7167685073</v>
      </c>
    </row>
  </sheetData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2:C24"/>
  <sheetViews>
    <sheetView workbookViewId="0" topLeftCell="A1">
      <selection activeCell="D20" sqref="D20"/>
    </sheetView>
  </sheetViews>
  <sheetFormatPr defaultColWidth="9.00390625" defaultRowHeight="12.75"/>
  <cols>
    <col min="1" max="1" width="18.125" style="1" bestFit="1" customWidth="1"/>
    <col min="2" max="16384" width="9.00390625" style="1" customWidth="1"/>
  </cols>
  <sheetData>
    <row r="2" ht="12">
      <c r="A2" s="2" t="s">
        <v>245</v>
      </c>
    </row>
    <row r="3" ht="12"/>
    <row r="4" spans="1:3" ht="12">
      <c r="A4" s="2" t="s">
        <v>220</v>
      </c>
      <c r="B4" s="4" t="s">
        <v>178</v>
      </c>
      <c r="C4" s="4" t="s">
        <v>177</v>
      </c>
    </row>
    <row r="5" spans="1:3" ht="15.75" customHeight="1">
      <c r="A5" s="1" t="s">
        <v>218</v>
      </c>
      <c r="B5" s="3">
        <f>COHORT!CT11</f>
        <v>52089.27454202739</v>
      </c>
      <c r="C5" s="3">
        <f>COHORT!CS11</f>
        <v>48935.28770856393</v>
      </c>
    </row>
    <row r="6" spans="1:3" ht="15.75" customHeight="1">
      <c r="A6" s="1" t="s">
        <v>201</v>
      </c>
      <c r="B6" s="3">
        <f>COHORT!CT12</f>
        <v>50929.22744393755</v>
      </c>
      <c r="C6" s="3">
        <f>COHORT!CS12</f>
        <v>49920.72789059224</v>
      </c>
    </row>
    <row r="7" spans="1:3" ht="15.75" customHeight="1">
      <c r="A7" s="1" t="s">
        <v>202</v>
      </c>
      <c r="B7" s="3">
        <f>COHORT!CT13</f>
        <v>54445.897487744216</v>
      </c>
      <c r="C7" s="3">
        <f>COHORT!CS13</f>
        <v>50860.72993085857</v>
      </c>
    </row>
    <row r="8" spans="1:3" ht="15.75" customHeight="1">
      <c r="A8" s="1" t="s">
        <v>203</v>
      </c>
      <c r="B8" s="3">
        <f>COHORT!CT14</f>
        <v>49806.24217491078</v>
      </c>
      <c r="C8" s="3">
        <f>COHORT!CS14</f>
        <v>49783.3111120281</v>
      </c>
    </row>
    <row r="9" spans="1:3" ht="15.75" customHeight="1">
      <c r="A9" s="1" t="s">
        <v>204</v>
      </c>
      <c r="B9" s="3">
        <f>COHORT!CT15</f>
        <v>46964.8181629952</v>
      </c>
      <c r="C9" s="3">
        <f>COHORT!CS15</f>
        <v>47968.460207643104</v>
      </c>
    </row>
    <row r="10" spans="1:3" ht="15.75" customHeight="1">
      <c r="A10" s="1" t="s">
        <v>205</v>
      </c>
      <c r="B10" s="3">
        <f>COHORT!CT16</f>
        <v>46668.529408772956</v>
      </c>
      <c r="C10" s="3">
        <f>COHORT!CS16</f>
        <v>52658.826743163256</v>
      </c>
    </row>
    <row r="11" spans="1:3" ht="15.75" customHeight="1">
      <c r="A11" s="1" t="s">
        <v>206</v>
      </c>
      <c r="B11" s="3">
        <f>COHORT!CT17</f>
        <v>48704.076726664935</v>
      </c>
      <c r="C11" s="3">
        <f>COHORT!CS17</f>
        <v>51411.790535917884</v>
      </c>
    </row>
    <row r="12" spans="1:3" ht="15.75" customHeight="1">
      <c r="A12" s="1" t="s">
        <v>207</v>
      </c>
      <c r="B12" s="3">
        <f>COHORT!CT18</f>
        <v>49036.159315778365</v>
      </c>
      <c r="C12" s="3">
        <f>COHORT!CS18</f>
        <v>55467.26045387424</v>
      </c>
    </row>
    <row r="13" spans="1:3" ht="15.75" customHeight="1">
      <c r="A13" s="1" t="s">
        <v>208</v>
      </c>
      <c r="B13" s="3">
        <f>COHORT!CT19</f>
        <v>46385.518439887994</v>
      </c>
      <c r="C13" s="3">
        <f>COHORT!CS19</f>
        <v>51047.83534234913</v>
      </c>
    </row>
    <row r="14" spans="1:3" ht="15.75" customHeight="1">
      <c r="A14" s="1" t="s">
        <v>209</v>
      </c>
      <c r="B14" s="3">
        <f>COHORT!CT20</f>
        <v>43056.7364279429</v>
      </c>
      <c r="C14" s="3">
        <f>COHORT!CS20</f>
        <v>47952.97768742268</v>
      </c>
    </row>
    <row r="15" spans="1:3" ht="15.75" customHeight="1">
      <c r="A15" s="1" t="s">
        <v>210</v>
      </c>
      <c r="B15" s="3">
        <f>COHORT!CT21</f>
        <v>40756.73869766089</v>
      </c>
      <c r="C15" s="3">
        <f>COHORT!CS21</f>
        <v>45965.02466485156</v>
      </c>
    </row>
    <row r="16" spans="1:3" ht="15.75" customHeight="1">
      <c r="A16" s="1" t="s">
        <v>211</v>
      </c>
      <c r="B16" s="3">
        <f>COHORT!CT22</f>
        <v>39666.51090308573</v>
      </c>
      <c r="C16" s="3">
        <f>COHORT!CS22</f>
        <v>44556.16515510001</v>
      </c>
    </row>
    <row r="17" spans="1:3" ht="15.75" customHeight="1">
      <c r="A17" s="1" t="s">
        <v>212</v>
      </c>
      <c r="B17" s="3">
        <f>COHORT!CT23</f>
        <v>37044.37002687129</v>
      </c>
      <c r="C17" s="3">
        <f>COHORT!CS23</f>
        <v>42587.81041562606</v>
      </c>
    </row>
    <row r="18" spans="1:3" ht="15.75" customHeight="1">
      <c r="A18" s="1" t="s">
        <v>213</v>
      </c>
      <c r="B18" s="3">
        <f>COHORT!CT24</f>
        <v>35006.57328398539</v>
      </c>
      <c r="C18" s="3">
        <f>COHORT!CS24</f>
        <v>42851.08399143777</v>
      </c>
    </row>
    <row r="19" spans="1:3" ht="15.75" customHeight="1">
      <c r="A19" s="1" t="s">
        <v>214</v>
      </c>
      <c r="B19" s="3">
        <f>COHORT!CT25</f>
        <v>29566.462908063622</v>
      </c>
      <c r="C19" s="3">
        <f>COHORT!CS25</f>
        <v>38266.5699101468</v>
      </c>
    </row>
    <row r="20" spans="1:3" ht="15.75" customHeight="1">
      <c r="A20" s="1" t="s">
        <v>215</v>
      </c>
      <c r="B20" s="3">
        <f>COHORT!CT26</f>
        <v>20927.185110959377</v>
      </c>
      <c r="C20" s="3">
        <f>COHORT!CS26</f>
        <v>29698.657681245368</v>
      </c>
    </row>
    <row r="21" spans="1:3" ht="15.75" customHeight="1">
      <c r="A21" s="1" t="s">
        <v>216</v>
      </c>
      <c r="B21" s="3">
        <f>COHORT!CT27</f>
        <v>12508.40710413211</v>
      </c>
      <c r="C21" s="3">
        <f>COHORT!CS27</f>
        <v>18960.102146033187</v>
      </c>
    </row>
    <row r="22" spans="1:3" ht="15.75" customHeight="1">
      <c r="A22" s="1" t="s">
        <v>217</v>
      </c>
      <c r="B22" s="3">
        <f>COHORT!CT28</f>
        <v>7117.106692304982</v>
      </c>
      <c r="C22" s="3">
        <f>COHORT!CS28</f>
        <v>14027.133793719053</v>
      </c>
    </row>
    <row r="23" spans="2:3" ht="12">
      <c r="B23" s="3"/>
      <c r="C23" s="3"/>
    </row>
    <row r="24" spans="1:3" ht="12">
      <c r="A24" s="2" t="s">
        <v>219</v>
      </c>
      <c r="B24" s="3">
        <f>SUM(B5:B22)</f>
        <v>710679.8348577255</v>
      </c>
      <c r="C24" s="3">
        <f>SUM(C5:C22)</f>
        <v>782919.7553705729</v>
      </c>
    </row>
  </sheetData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casanto</dc:creator>
  <cp:keywords/>
  <dc:description/>
  <cp:lastModifiedBy>Charlie Santo</cp:lastModifiedBy>
  <cp:lastPrinted>2006-11-09T15:59:51Z</cp:lastPrinted>
  <dcterms:created xsi:type="dcterms:W3CDTF">2006-11-08T21:41:51Z</dcterms:created>
  <dcterms:modified xsi:type="dcterms:W3CDTF">2016-10-04T20:30:52Z</dcterms:modified>
  <cp:category/>
  <cp:version/>
  <cp:contentType/>
  <cp:contentStatus/>
</cp:coreProperties>
</file>